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поправки март 17.03.25" sheetId="2" r:id="rId1"/>
  </sheets>
  <externalReferences>
    <externalReference r:id="rId2"/>
  </externalReferences>
  <definedNames>
    <definedName name="Z_D9A49370_59EF_4DF5_B20D_A46D1CBDF607_.wvu.PrintTitles" localSheetId="0">'поправки март 17.03.25'!$5:$8</definedName>
    <definedName name="Z_D9A49370_59EF_4DF5_B20D_A46D1CBDF607_.wvu.Rows" localSheetId="0">'[1]04.12'!#REF!</definedName>
    <definedName name="_xlnm.Print_Titles" localSheetId="0">'поправки март 17.03.25'!$5:$9</definedName>
    <definedName name="_xlnm.Print_Area" localSheetId="0">'поправки март 17.03.25'!$A$1:$AJ$201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3" i="2"/>
  <c r="G31"/>
  <c r="G122" l="1"/>
  <c r="G32"/>
  <c r="G116"/>
  <c r="AH110"/>
  <c r="G53"/>
  <c r="G127"/>
  <c r="E53"/>
  <c r="G93"/>
  <c r="G52"/>
  <c r="E107"/>
  <c r="G107"/>
  <c r="G94"/>
  <c r="G25"/>
  <c r="G98"/>
  <c r="AH98" s="1"/>
  <c r="G143"/>
  <c r="G86"/>
  <c r="G75"/>
  <c r="G67"/>
  <c r="AA176"/>
  <c r="G176"/>
  <c r="G168"/>
  <c r="G167"/>
  <c r="G134"/>
  <c r="AF122"/>
  <c r="AF99"/>
  <c r="AF98"/>
  <c r="G36"/>
  <c r="E36"/>
  <c r="AI36"/>
  <c r="AJ36" s="1"/>
  <c r="G123" l="1"/>
  <c r="AH122"/>
  <c r="AH99"/>
  <c r="AI98"/>
  <c r="AJ98" s="1"/>
  <c r="AJ99" s="1"/>
  <c r="AC22"/>
  <c r="AC37"/>
  <c r="AC39" s="1"/>
  <c r="AD36"/>
  <c r="AB42"/>
  <c r="AD42" s="1"/>
  <c r="AD44" s="1"/>
  <c r="AD35"/>
  <c r="AB35"/>
  <c r="Z35"/>
  <c r="V200"/>
  <c r="G200" s="1"/>
  <c r="U200"/>
  <c r="X198"/>
  <c r="G198"/>
  <c r="AH196"/>
  <c r="AJ196" s="1"/>
  <c r="AG196"/>
  <c r="AH195"/>
  <c r="AJ195" s="1"/>
  <c r="AG195"/>
  <c r="X194"/>
  <c r="G194"/>
  <c r="V193"/>
  <c r="X193" s="1"/>
  <c r="G193"/>
  <c r="X192"/>
  <c r="G192"/>
  <c r="X191"/>
  <c r="G191"/>
  <c r="Y190"/>
  <c r="G190"/>
  <c r="AB188"/>
  <c r="AD188" s="1"/>
  <c r="AE186"/>
  <c r="AE158" s="1"/>
  <c r="AD186"/>
  <c r="AD158" s="1"/>
  <c r="AD184"/>
  <c r="AB184"/>
  <c r="G184"/>
  <c r="V183"/>
  <c r="X183" s="1"/>
  <c r="U183"/>
  <c r="AB181"/>
  <c r="AD181" s="1"/>
  <c r="G181"/>
  <c r="AD179"/>
  <c r="AB179"/>
  <c r="AD176"/>
  <c r="X176"/>
  <c r="AB174"/>
  <c r="AD174" s="1"/>
  <c r="AA174"/>
  <c r="AA172"/>
  <c r="G172"/>
  <c r="AB172" s="1"/>
  <c r="AD172" s="1"/>
  <c r="X171"/>
  <c r="V171"/>
  <c r="U171"/>
  <c r="V170"/>
  <c r="U170"/>
  <c r="AA168"/>
  <c r="AB168"/>
  <c r="AD168" s="1"/>
  <c r="AD167"/>
  <c r="AA167"/>
  <c r="AA155" s="1"/>
  <c r="X167"/>
  <c r="AH165"/>
  <c r="AJ165" s="1"/>
  <c r="AG165"/>
  <c r="AH164"/>
  <c r="AJ164" s="1"/>
  <c r="AG164"/>
  <c r="AE161"/>
  <c r="AD161" s="1"/>
  <c r="AA161"/>
  <c r="AA157" s="1"/>
  <c r="AA159" s="1"/>
  <c r="AL159"/>
  <c r="AB158"/>
  <c r="AA158"/>
  <c r="Y158"/>
  <c r="X158"/>
  <c r="U158"/>
  <c r="F158"/>
  <c r="AB157"/>
  <c r="AB159" s="1"/>
  <c r="Y157"/>
  <c r="Y159" s="1"/>
  <c r="X157"/>
  <c r="X159" s="1"/>
  <c r="U157"/>
  <c r="F157"/>
  <c r="AL156"/>
  <c r="X155"/>
  <c r="V155"/>
  <c r="G155"/>
  <c r="F155"/>
  <c r="AJ154"/>
  <c r="G154"/>
  <c r="F154"/>
  <c r="V153"/>
  <c r="V156" s="1"/>
  <c r="U153"/>
  <c r="U156" s="1"/>
  <c r="S153"/>
  <c r="R153"/>
  <c r="Q153"/>
  <c r="P153"/>
  <c r="O153"/>
  <c r="N153"/>
  <c r="M153"/>
  <c r="L153"/>
  <c r="K153"/>
  <c r="J153"/>
  <c r="I153"/>
  <c r="H153"/>
  <c r="F153"/>
  <c r="Y151"/>
  <c r="S151"/>
  <c r="R151"/>
  <c r="Q151"/>
  <c r="P151"/>
  <c r="O151"/>
  <c r="N151"/>
  <c r="M151"/>
  <c r="L151"/>
  <c r="K151"/>
  <c r="J151"/>
  <c r="I151"/>
  <c r="H151"/>
  <c r="F151"/>
  <c r="W149"/>
  <c r="X148"/>
  <c r="V148"/>
  <c r="T148"/>
  <c r="G148"/>
  <c r="E148"/>
  <c r="AC145"/>
  <c r="AB145"/>
  <c r="Z145"/>
  <c r="W145"/>
  <c r="R145"/>
  <c r="Q145"/>
  <c r="P145"/>
  <c r="N145"/>
  <c r="M145"/>
  <c r="L145"/>
  <c r="J145"/>
  <c r="I145"/>
  <c r="H145"/>
  <c r="AD144"/>
  <c r="AD145" s="1"/>
  <c r="X144"/>
  <c r="G144"/>
  <c r="G145" s="1"/>
  <c r="E144"/>
  <c r="E145" s="1"/>
  <c r="AF143"/>
  <c r="AF145" s="1"/>
  <c r="V142"/>
  <c r="V145" s="1"/>
  <c r="T142"/>
  <c r="T145" s="1"/>
  <c r="AD140"/>
  <c r="AC140"/>
  <c r="AB140"/>
  <c r="Z140"/>
  <c r="S140"/>
  <c r="R140"/>
  <c r="Q140"/>
  <c r="P140"/>
  <c r="O140"/>
  <c r="N140"/>
  <c r="M140"/>
  <c r="L140"/>
  <c r="J140"/>
  <c r="I140"/>
  <c r="H140"/>
  <c r="G140"/>
  <c r="E140"/>
  <c r="AD139"/>
  <c r="X139"/>
  <c r="G139"/>
  <c r="E139"/>
  <c r="AH138"/>
  <c r="AH140" s="1"/>
  <c r="AF138"/>
  <c r="AF140" s="1"/>
  <c r="V137"/>
  <c r="V140" s="1"/>
  <c r="T137"/>
  <c r="T140" s="1"/>
  <c r="G135"/>
  <c r="E135"/>
  <c r="AH134"/>
  <c r="AI134" s="1"/>
  <c r="AI135" s="1"/>
  <c r="AF134"/>
  <c r="AF135" s="1"/>
  <c r="AB133"/>
  <c r="Z133"/>
  <c r="AD132"/>
  <c r="AB132"/>
  <c r="Z132"/>
  <c r="S130"/>
  <c r="R130"/>
  <c r="Q130"/>
  <c r="P130"/>
  <c r="O130"/>
  <c r="N130"/>
  <c r="M130"/>
  <c r="L130"/>
  <c r="J130"/>
  <c r="I130"/>
  <c r="H130"/>
  <c r="AD129"/>
  <c r="X129"/>
  <c r="G129"/>
  <c r="E129"/>
  <c r="Z128"/>
  <c r="Z130" s="1"/>
  <c r="W128"/>
  <c r="W130" s="1"/>
  <c r="G128"/>
  <c r="G130" s="1"/>
  <c r="E128"/>
  <c r="E130" s="1"/>
  <c r="AJ127"/>
  <c r="AJ128" s="1"/>
  <c r="AJ130" s="1"/>
  <c r="AI127"/>
  <c r="AI128" s="1"/>
  <c r="AI130" s="1"/>
  <c r="AH127"/>
  <c r="AH128" s="1"/>
  <c r="AH130" s="1"/>
  <c r="AF127"/>
  <c r="AF128" s="1"/>
  <c r="AF130" s="1"/>
  <c r="AB126"/>
  <c r="AC128" s="1"/>
  <c r="AC130" s="1"/>
  <c r="V125"/>
  <c r="V128" s="1"/>
  <c r="T125"/>
  <c r="T128" s="1"/>
  <c r="T130" s="1"/>
  <c r="E125"/>
  <c r="AF121"/>
  <c r="AF123" s="1"/>
  <c r="G121"/>
  <c r="AB120"/>
  <c r="AD120" s="1"/>
  <c r="E120"/>
  <c r="Z120" s="1"/>
  <c r="AC123"/>
  <c r="AB119"/>
  <c r="AB123" s="1"/>
  <c r="E119"/>
  <c r="E123" s="1"/>
  <c r="U117"/>
  <c r="R117"/>
  <c r="Q117"/>
  <c r="P117"/>
  <c r="N117"/>
  <c r="M117"/>
  <c r="M20" s="1"/>
  <c r="L117"/>
  <c r="J117"/>
  <c r="I117"/>
  <c r="H117"/>
  <c r="E117"/>
  <c r="AF116"/>
  <c r="AF117" s="1"/>
  <c r="AH116"/>
  <c r="AD115"/>
  <c r="AD117" s="1"/>
  <c r="AC117"/>
  <c r="AB115"/>
  <c r="AB117" s="1"/>
  <c r="Z115"/>
  <c r="Z117" s="1"/>
  <c r="V114"/>
  <c r="V117" s="1"/>
  <c r="T114"/>
  <c r="T117" s="1"/>
  <c r="AH112"/>
  <c r="AF112"/>
  <c r="AB112"/>
  <c r="Z112"/>
  <c r="AJ110"/>
  <c r="AJ112" s="1"/>
  <c r="AI110"/>
  <c r="AI112" s="1"/>
  <c r="AC112"/>
  <c r="G110"/>
  <c r="G112" s="1"/>
  <c r="E110"/>
  <c r="E112" s="1"/>
  <c r="AB108"/>
  <c r="V108"/>
  <c r="E108"/>
  <c r="AH107"/>
  <c r="AI107" s="1"/>
  <c r="AF107"/>
  <c r="AF106"/>
  <c r="AD106"/>
  <c r="AD105"/>
  <c r="AC108"/>
  <c r="Z105"/>
  <c r="Z104"/>
  <c r="X104"/>
  <c r="X108" s="1"/>
  <c r="G104"/>
  <c r="G108" s="1"/>
  <c r="Z102"/>
  <c r="G102"/>
  <c r="E102"/>
  <c r="AC102"/>
  <c r="AB101"/>
  <c r="AB102" s="1"/>
  <c r="Z99"/>
  <c r="R99"/>
  <c r="Q99"/>
  <c r="P99"/>
  <c r="O99"/>
  <c r="N99"/>
  <c r="M99"/>
  <c r="L99"/>
  <c r="J99"/>
  <c r="I99"/>
  <c r="H99"/>
  <c r="G99"/>
  <c r="E99"/>
  <c r="AD97"/>
  <c r="AD99" s="1"/>
  <c r="AC99"/>
  <c r="AB97"/>
  <c r="AB99" s="1"/>
  <c r="AC95"/>
  <c r="Z95"/>
  <c r="E95"/>
  <c r="AI94"/>
  <c r="AH94"/>
  <c r="AJ94" s="1"/>
  <c r="AF94"/>
  <c r="AF93"/>
  <c r="AH93"/>
  <c r="AD92"/>
  <c r="AD95" s="1"/>
  <c r="AB92"/>
  <c r="AB95" s="1"/>
  <c r="V91"/>
  <c r="X91" s="1"/>
  <c r="X95" s="1"/>
  <c r="T91"/>
  <c r="T95" s="1"/>
  <c r="X89"/>
  <c r="V89"/>
  <c r="T89"/>
  <c r="AD88"/>
  <c r="X88"/>
  <c r="G88"/>
  <c r="E88"/>
  <c r="Z87"/>
  <c r="Z89" s="1"/>
  <c r="G87"/>
  <c r="G89" s="1"/>
  <c r="E87"/>
  <c r="E89" s="1"/>
  <c r="AF86"/>
  <c r="AF87" s="1"/>
  <c r="AF89" s="1"/>
  <c r="AH86"/>
  <c r="AI85"/>
  <c r="AJ85" s="1"/>
  <c r="AB84"/>
  <c r="AB87" s="1"/>
  <c r="AB89" s="1"/>
  <c r="AB82"/>
  <c r="Z82"/>
  <c r="R82"/>
  <c r="Q82"/>
  <c r="P82"/>
  <c r="O82"/>
  <c r="N82"/>
  <c r="M82"/>
  <c r="L82"/>
  <c r="J82"/>
  <c r="I82"/>
  <c r="H82"/>
  <c r="AI81"/>
  <c r="AH81"/>
  <c r="AF81"/>
  <c r="AF82" s="1"/>
  <c r="AH80"/>
  <c r="AI80" s="1"/>
  <c r="AD80"/>
  <c r="AD82" s="1"/>
  <c r="E80"/>
  <c r="E82" s="1"/>
  <c r="V79"/>
  <c r="X79" s="1"/>
  <c r="X82" s="1"/>
  <c r="T79"/>
  <c r="T82" s="1"/>
  <c r="AF77"/>
  <c r="V77"/>
  <c r="T77"/>
  <c r="R77"/>
  <c r="Q77"/>
  <c r="P77"/>
  <c r="O77"/>
  <c r="N77"/>
  <c r="M77"/>
  <c r="L77"/>
  <c r="J77"/>
  <c r="I77"/>
  <c r="H77"/>
  <c r="G77"/>
  <c r="E77"/>
  <c r="AD76"/>
  <c r="X76"/>
  <c r="X77" s="1"/>
  <c r="G76"/>
  <c r="E76"/>
  <c r="AH75"/>
  <c r="AH77" s="1"/>
  <c r="AF75"/>
  <c r="AB74"/>
  <c r="AC77" s="1"/>
  <c r="Z74"/>
  <c r="Z77" s="1"/>
  <c r="X72"/>
  <c r="W72"/>
  <c r="V72"/>
  <c r="T72"/>
  <c r="S72"/>
  <c r="R72"/>
  <c r="Q72"/>
  <c r="P72"/>
  <c r="O72"/>
  <c r="N72"/>
  <c r="M72"/>
  <c r="L72"/>
  <c r="J72"/>
  <c r="I72"/>
  <c r="H72"/>
  <c r="G72"/>
  <c r="E72"/>
  <c r="S68"/>
  <c r="R68"/>
  <c r="Q68"/>
  <c r="P68"/>
  <c r="O68"/>
  <c r="N68"/>
  <c r="M68"/>
  <c r="L68"/>
  <c r="J68"/>
  <c r="I68"/>
  <c r="H68"/>
  <c r="G68"/>
  <c r="E68"/>
  <c r="AF67"/>
  <c r="AF68" s="1"/>
  <c r="AH67"/>
  <c r="AB66"/>
  <c r="AB68" s="1"/>
  <c r="Z66"/>
  <c r="AB65"/>
  <c r="E65"/>
  <c r="Z65" s="1"/>
  <c r="Z68" s="1"/>
  <c r="V61"/>
  <c r="V68" s="1"/>
  <c r="T61"/>
  <c r="T68" s="1"/>
  <c r="AC58"/>
  <c r="Z58"/>
  <c r="R58"/>
  <c r="Q58"/>
  <c r="P58"/>
  <c r="N58"/>
  <c r="M58"/>
  <c r="L58"/>
  <c r="J58"/>
  <c r="I58"/>
  <c r="H58"/>
  <c r="E58"/>
  <c r="AF57"/>
  <c r="AF58" s="1"/>
  <c r="G57"/>
  <c r="G58" s="1"/>
  <c r="AD56"/>
  <c r="AD58" s="1"/>
  <c r="AB56"/>
  <c r="AB58" s="1"/>
  <c r="R54"/>
  <c r="Q54"/>
  <c r="P54"/>
  <c r="L54"/>
  <c r="J54"/>
  <c r="J20" s="1"/>
  <c r="I54"/>
  <c r="H54"/>
  <c r="AH53"/>
  <c r="AF53"/>
  <c r="AF52"/>
  <c r="AH52"/>
  <c r="AB51"/>
  <c r="AD51" s="1"/>
  <c r="Z51"/>
  <c r="AB50"/>
  <c r="AC54" s="1"/>
  <c r="Z50"/>
  <c r="E50"/>
  <c r="E54" s="1"/>
  <c r="R46"/>
  <c r="Q46"/>
  <c r="P46"/>
  <c r="P20" s="1"/>
  <c r="O46"/>
  <c r="N46"/>
  <c r="M46"/>
  <c r="L46"/>
  <c r="J46"/>
  <c r="I46"/>
  <c r="H46"/>
  <c r="AD45"/>
  <c r="X45"/>
  <c r="G45"/>
  <c r="E45"/>
  <c r="W44"/>
  <c r="W46" s="1"/>
  <c r="AF43"/>
  <c r="AF44" s="1"/>
  <c r="AF46" s="1"/>
  <c r="G43"/>
  <c r="AH43" s="1"/>
  <c r="AC44"/>
  <c r="AC46" s="1"/>
  <c r="Z42"/>
  <c r="Z44" s="1"/>
  <c r="Z46" s="1"/>
  <c r="E42"/>
  <c r="V41"/>
  <c r="X41" s="1"/>
  <c r="X44" s="1"/>
  <c r="E41"/>
  <c r="E44" s="1"/>
  <c r="W39"/>
  <c r="AD38"/>
  <c r="X38"/>
  <c r="V38"/>
  <c r="G38" s="1"/>
  <c r="E38"/>
  <c r="T37"/>
  <c r="T39" s="1"/>
  <c r="R37"/>
  <c r="Q37"/>
  <c r="P37"/>
  <c r="N37"/>
  <c r="M37"/>
  <c r="L37"/>
  <c r="AD34"/>
  <c r="X34"/>
  <c r="G34"/>
  <c r="E34"/>
  <c r="Z34" s="1"/>
  <c r="AI33"/>
  <c r="AH33"/>
  <c r="AF33"/>
  <c r="AF32"/>
  <c r="AH32"/>
  <c r="AH31"/>
  <c r="AI31" s="1"/>
  <c r="AJ31" s="1"/>
  <c r="AF31"/>
  <c r="AF37" s="1"/>
  <c r="AF39" s="1"/>
  <c r="Z30"/>
  <c r="AD29"/>
  <c r="E29"/>
  <c r="Z29" s="1"/>
  <c r="AD28"/>
  <c r="V28"/>
  <c r="G28" s="1"/>
  <c r="G37" s="1"/>
  <c r="E28"/>
  <c r="Z28" s="1"/>
  <c r="E26"/>
  <c r="AF25"/>
  <c r="AF26" s="1"/>
  <c r="AH25"/>
  <c r="AB23"/>
  <c r="Z23"/>
  <c r="T23"/>
  <c r="AL23" s="1"/>
  <c r="S20"/>
  <c r="K20"/>
  <c r="AD16"/>
  <c r="AD12" s="1"/>
  <c r="AB16"/>
  <c r="Z16"/>
  <c r="Z12" s="1"/>
  <c r="V14"/>
  <c r="X14" s="1"/>
  <c r="X12" s="1"/>
  <c r="T14"/>
  <c r="T12" s="1"/>
  <c r="AB12"/>
  <c r="V12"/>
  <c r="G12"/>
  <c r="E12"/>
  <c r="AD46" l="1"/>
  <c r="L20"/>
  <c r="G23"/>
  <c r="AF54"/>
  <c r="I20"/>
  <c r="V82"/>
  <c r="AD23"/>
  <c r="Z108"/>
  <c r="AB44"/>
  <c r="AB46" s="1"/>
  <c r="W20"/>
  <c r="V37"/>
  <c r="V39" s="1"/>
  <c r="X46"/>
  <c r="G80"/>
  <c r="G82" s="1"/>
  <c r="W22"/>
  <c r="V157"/>
  <c r="X151"/>
  <c r="U151"/>
  <c r="O20"/>
  <c r="N20"/>
  <c r="AB77"/>
  <c r="AF95"/>
  <c r="V23"/>
  <c r="AK23" s="1"/>
  <c r="X28"/>
  <c r="X37" s="1"/>
  <c r="X39" s="1"/>
  <c r="T41"/>
  <c r="T44" s="1"/>
  <c r="T46" s="1"/>
  <c r="V44"/>
  <c r="V46" s="1"/>
  <c r="R20"/>
  <c r="X142"/>
  <c r="X145" s="1"/>
  <c r="U159"/>
  <c r="AJ81"/>
  <c r="X23"/>
  <c r="X153"/>
  <c r="X156" s="1"/>
  <c r="Z54"/>
  <c r="E46"/>
  <c r="AH57"/>
  <c r="AI57" s="1"/>
  <c r="AI58" s="1"/>
  <c r="X61"/>
  <c r="X68" s="1"/>
  <c r="H20"/>
  <c r="Q20"/>
  <c r="E23"/>
  <c r="AD101"/>
  <c r="AD102" s="1"/>
  <c r="AD119"/>
  <c r="AD123" s="1"/>
  <c r="X125"/>
  <c r="X128" s="1"/>
  <c r="X130" s="1"/>
  <c r="AI138"/>
  <c r="AI140" s="1"/>
  <c r="F159"/>
  <c r="V158"/>
  <c r="AK158" s="1"/>
  <c r="AJ33"/>
  <c r="AH37"/>
  <c r="AH39" s="1"/>
  <c r="AI122"/>
  <c r="AF108"/>
  <c r="AF20" s="1"/>
  <c r="AF22" s="1"/>
  <c r="AJ53"/>
  <c r="AI53"/>
  <c r="AI75"/>
  <c r="AI77" s="1"/>
  <c r="AA153"/>
  <c r="AA156" s="1"/>
  <c r="AJ155"/>
  <c r="F156"/>
  <c r="AB153"/>
  <c r="AH135"/>
  <c r="Z135"/>
  <c r="AJ134"/>
  <c r="AJ135" s="1"/>
  <c r="AH121"/>
  <c r="AH123" s="1"/>
  <c r="AB22"/>
  <c r="AB37"/>
  <c r="AB39" s="1"/>
  <c r="AB135"/>
  <c r="AC135"/>
  <c r="AD66"/>
  <c r="AI25"/>
  <c r="AI26" s="1"/>
  <c r="AH26"/>
  <c r="V130"/>
  <c r="AD153"/>
  <c r="AH44"/>
  <c r="AH46" s="1"/>
  <c r="AI43"/>
  <c r="AI44" s="1"/>
  <c r="AI46" s="1"/>
  <c r="AC68"/>
  <c r="AD65"/>
  <c r="AI93"/>
  <c r="AI95" s="1"/>
  <c r="AH95"/>
  <c r="AD157"/>
  <c r="AD159" s="1"/>
  <c r="AD151"/>
  <c r="AI86"/>
  <c r="AJ86" s="1"/>
  <c r="AJ87" s="1"/>
  <c r="AJ89" s="1"/>
  <c r="AI82"/>
  <c r="AJ80"/>
  <c r="AJ82" s="1"/>
  <c r="AI116"/>
  <c r="AI117" s="1"/>
  <c r="AH117"/>
  <c r="T20"/>
  <c r="AJ151"/>
  <c r="AJ156"/>
  <c r="V159"/>
  <c r="AK159" s="1"/>
  <c r="AK157"/>
  <c r="AI32"/>
  <c r="AJ67"/>
  <c r="AJ68" s="1"/>
  <c r="AH68"/>
  <c r="AI67"/>
  <c r="AI68" s="1"/>
  <c r="AI87"/>
  <c r="AI89" s="1"/>
  <c r="G39"/>
  <c r="AH87"/>
  <c r="AH89" s="1"/>
  <c r="AI52"/>
  <c r="AH54"/>
  <c r="G44"/>
  <c r="G46" s="1"/>
  <c r="G26"/>
  <c r="G117"/>
  <c r="AE151"/>
  <c r="AD155"/>
  <c r="AE157"/>
  <c r="AE159" s="1"/>
  <c r="AB54"/>
  <c r="V95"/>
  <c r="Z119"/>
  <c r="Z123" s="1"/>
  <c r="X137"/>
  <c r="X140" s="1"/>
  <c r="AB155"/>
  <c r="T22"/>
  <c r="V151"/>
  <c r="AH82"/>
  <c r="V149"/>
  <c r="G149" s="1"/>
  <c r="AD50"/>
  <c r="AD54" s="1"/>
  <c r="G54"/>
  <c r="AD74"/>
  <c r="AD77" s="1"/>
  <c r="AC82"/>
  <c r="AD84"/>
  <c r="AD87" s="1"/>
  <c r="AD89" s="1"/>
  <c r="AI99"/>
  <c r="AH106"/>
  <c r="AD133"/>
  <c r="AD135" s="1"/>
  <c r="AB151"/>
  <c r="G170"/>
  <c r="AB128"/>
  <c r="AB130" s="1"/>
  <c r="AD30"/>
  <c r="AD37" s="1"/>
  <c r="AJ57"/>
  <c r="AJ58" s="1"/>
  <c r="AC87"/>
  <c r="AC89" s="1"/>
  <c r="G95"/>
  <c r="AD104"/>
  <c r="AD108" s="1"/>
  <c r="AJ107"/>
  <c r="AD110"/>
  <c r="AD112" s="1"/>
  <c r="X114"/>
  <c r="X117" s="1"/>
  <c r="AD126"/>
  <c r="AD128" s="1"/>
  <c r="AD130" s="1"/>
  <c r="AH143"/>
  <c r="AI143" s="1"/>
  <c r="AA151"/>
  <c r="G153"/>
  <c r="G156" s="1"/>
  <c r="G151"/>
  <c r="AH58" l="1"/>
  <c r="V20"/>
  <c r="AJ138"/>
  <c r="AJ140" s="1"/>
  <c r="X22"/>
  <c r="AD156"/>
  <c r="AJ153"/>
  <c r="X20"/>
  <c r="AJ122"/>
  <c r="AI123"/>
  <c r="AJ32"/>
  <c r="AI37"/>
  <c r="AI39" s="1"/>
  <c r="AJ93"/>
  <c r="AJ95" s="1"/>
  <c r="AI54"/>
  <c r="AJ75"/>
  <c r="AJ77" s="1"/>
  <c r="AB156"/>
  <c r="AD22"/>
  <c r="AJ121"/>
  <c r="AI121"/>
  <c r="AD39"/>
  <c r="AC20"/>
  <c r="AD68"/>
  <c r="AB20"/>
  <c r="AK39"/>
  <c r="AJ116"/>
  <c r="AJ117" s="1"/>
  <c r="AJ25"/>
  <c r="AJ26" s="1"/>
  <c r="AH108"/>
  <c r="AI106"/>
  <c r="AI108" s="1"/>
  <c r="AJ43"/>
  <c r="AJ44" s="1"/>
  <c r="AJ46" s="1"/>
  <c r="V22"/>
  <c r="AK153"/>
  <c r="AJ52"/>
  <c r="AJ54" s="1"/>
  <c r="AI145"/>
  <c r="AH145"/>
  <c r="G158"/>
  <c r="AL158" s="1"/>
  <c r="AL157" s="1"/>
  <c r="AL155" s="1"/>
  <c r="G157"/>
  <c r="AL153"/>
  <c r="G22"/>
  <c r="G20" s="1"/>
  <c r="AJ123" l="1"/>
  <c r="AJ37"/>
  <c r="AJ39" s="1"/>
  <c r="AI20"/>
  <c r="AI22" s="1"/>
  <c r="AH20"/>
  <c r="AK20" s="1"/>
  <c r="AD20"/>
  <c r="G159"/>
  <c r="AJ143"/>
  <c r="AJ145" s="1"/>
  <c r="AJ106"/>
  <c r="AJ108" s="1"/>
  <c r="AJ20" l="1"/>
  <c r="AJ22" s="1"/>
  <c r="AH22"/>
  <c r="AK22" s="1"/>
  <c r="AL20"/>
  <c r="Z22" l="1"/>
  <c r="AL22" s="1"/>
  <c r="E37"/>
  <c r="Z37"/>
  <c r="Z39" s="1"/>
  <c r="Z20" s="1"/>
  <c r="E39" l="1"/>
  <c r="E22"/>
  <c r="E20" s="1"/>
</calcChain>
</file>

<file path=xl/sharedStrings.xml><?xml version="1.0" encoding="utf-8"?>
<sst xmlns="http://schemas.openxmlformats.org/spreadsheetml/2006/main" count="349" uniqueCount="200">
  <si>
    <t>Перечень объектов по ремонту  автомобильных дорог и искусственных сооружений на них на 2024 - 2026 годы в рамках регионального проекта «Региональная и местная дорожная сеть»</t>
  </si>
  <si>
    <t>№ п/п</t>
  </si>
  <si>
    <t>Наименование объекта</t>
  </si>
  <si>
    <t>Катего-рия</t>
  </si>
  <si>
    <t>Параметры сооружения</t>
  </si>
  <si>
    <t>ВСЕГО</t>
  </si>
  <si>
    <t>2019 год</t>
  </si>
  <si>
    <t>2020 год</t>
  </si>
  <si>
    <t>2021 год</t>
  </si>
  <si>
    <t>Объём финансирования по годам</t>
  </si>
  <si>
    <t>км</t>
  </si>
  <si>
    <t>Стоимость, тыс. рублей</t>
  </si>
  <si>
    <t>2024 год</t>
  </si>
  <si>
    <t>2025 год</t>
  </si>
  <si>
    <t>2026 год</t>
  </si>
  <si>
    <t>Протяженность</t>
  </si>
  <si>
    <t xml:space="preserve">  Стоимость, тыс. рублей</t>
  </si>
  <si>
    <t>Всего</t>
  </si>
  <si>
    <t>в том числе</t>
  </si>
  <si>
    <t>пог. м</t>
  </si>
  <si>
    <t>областной бюджет</t>
  </si>
  <si>
    <t>федераль-ный бюджет</t>
  </si>
  <si>
    <t>федеральный бюджет</t>
  </si>
  <si>
    <t xml:space="preserve">Региональный проект «Региональная и местная дорожная сеть», входящий в национальный проект </t>
  </si>
  <si>
    <t>I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</si>
  <si>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</si>
  <si>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Капитально отремонтировано автодорог</t>
  </si>
  <si>
    <t>Алексеевский муниципальный округ</t>
  </si>
  <si>
    <t>Иващенково - Березки, км 0+000 - км 2+500</t>
  </si>
  <si>
    <t>IV</t>
  </si>
  <si>
    <t>Красногвардейский район</t>
  </si>
  <si>
    <t xml:space="preserve">«Бирюч - Калиново - Никитовка» - Арнаутово, км 0+000 -  км 2+800 </t>
  </si>
  <si>
    <t>V</t>
  </si>
  <si>
    <t xml:space="preserve">Чернянский район </t>
  </si>
  <si>
    <t>Владимировка - Новоалександровка - Ларисовка, км 0+000 - км 2+300</t>
  </si>
  <si>
    <t>Отремонтировано автомобильных дорог</t>
  </si>
  <si>
    <t xml:space="preserve">ВСЕГО  по автодорогам, </t>
  </si>
  <si>
    <t xml:space="preserve"> - регионального значения </t>
  </si>
  <si>
    <t xml:space="preserve"> - местного значения</t>
  </si>
  <si>
    <t>ИТОГО по Алексеевскому муниципальному округу</t>
  </si>
  <si>
    <t>Белгородский район</t>
  </si>
  <si>
    <t xml:space="preserve">Разумное - Севрюково - Новосадовый,               км 8+245 - км 14+635 </t>
  </si>
  <si>
    <t>II</t>
  </si>
  <si>
    <t>«Крым» - Комсомольский - Красиво,                 км 0+020 - км 2+975; км 6+670 - км 9+020</t>
  </si>
  <si>
    <t>Стрелецкое - Раково,  км 0+000 -  км 5+050</t>
  </si>
  <si>
    <t xml:space="preserve"> </t>
  </si>
  <si>
    <t>III</t>
  </si>
  <si>
    <t>Долбино - Угрим, км 0+000 - км 2+900</t>
  </si>
  <si>
    <t xml:space="preserve">  </t>
  </si>
  <si>
    <t>Белгород - Шебекино - Волоконовка,               км 6+800  - км 8+280</t>
  </si>
  <si>
    <t>Подъезд к селу Нижний Ольшанец,                   км 0+745 - км 3+650</t>
  </si>
  <si>
    <t xml:space="preserve">Автодороги регионального значения </t>
  </si>
  <si>
    <t>Автодороги местного значения</t>
  </si>
  <si>
    <t>ИТОГО по Белгородскому району</t>
  </si>
  <si>
    <t>Борисовский район</t>
  </si>
  <si>
    <t>«Белгород - Грайворон» - Козинка,                      км 37+000 - км 42+630</t>
  </si>
  <si>
    <t>Борисовка - Пролетарский - Октябрьская Готня - станция Кулиновка - Красный Куток, км 0+015 - км 4+000</t>
  </si>
  <si>
    <t>ИТОГО по Борисовскому району</t>
  </si>
  <si>
    <t>Валуйский муниципальный округ</t>
  </si>
  <si>
    <t>«Валуйки - Казинка - Вериговка» - Бирюч, 
км 0+000 - км 0+620</t>
  </si>
  <si>
    <t>«Валуйки - Казинка - Вериговка»,                                        км 26+800 - км 32+550</t>
  </si>
  <si>
    <t>«Новый Оскол - Валуйки - Ровеньки» - Принцевка, км 0+032 - км 0+900</t>
  </si>
  <si>
    <t xml:space="preserve">    </t>
  </si>
  <si>
    <t>«Валуйки - Казинка - Вериговка» - Конопляновка» - Гладково,                                км 0+000 - км 4+764</t>
  </si>
  <si>
    <t xml:space="preserve">     </t>
  </si>
  <si>
    <t xml:space="preserve">«Валуйки - Казинка - Вериговка» - Дубровка,    км 0+000 - км 1+600 </t>
  </si>
  <si>
    <t>ИТОГО по Валуйскому муниципальному округу</t>
  </si>
  <si>
    <t>Вейделевский район</t>
  </si>
  <si>
    <t>«Новый Оскол - Валуйки - Ровеньки» - Колесников, км 0+000 - км 3+000</t>
  </si>
  <si>
    <t>IV/V</t>
  </si>
  <si>
    <t xml:space="preserve">Долгое - Россошь - Потоловка,                          км 0+000 - км 7+000 </t>
  </si>
  <si>
    <t>ИТОГО по Вейделевскому району</t>
  </si>
  <si>
    <t>Волоконовский район</t>
  </si>
  <si>
    <t>Подъезд к селу Грушевка,                                             км 0+000 - км 3+600</t>
  </si>
  <si>
    <t>Подъезд к с. Грушевка</t>
  </si>
  <si>
    <t>Ульяновка - Голофеевка,                                км 0+000 - км 6+600</t>
  </si>
  <si>
    <t>Волоконовка - Ливенка - Никитовка - Покровка - Шеншиновка,                                 км 0+000 - км 14+000</t>
  </si>
  <si>
    <t>Новый Оскол - Валуйки - Ровеньки,             км 28+800 - км 31+000, км 31+150 -               км 32+600, км 34+900 - км 40+100</t>
  </si>
  <si>
    <t xml:space="preserve"> «Волоконовка - Ливенка - Никитовка» - Пыточный - Покровка - Шеншиновка,               км 6+850 - км 14+000</t>
  </si>
  <si>
    <t xml:space="preserve"> «Волоконовка - Ливенка - Никитовка» - Пыточный - Покровка - Шеншиновка,               км 0+000-км 6+850                                                                   </t>
  </si>
  <si>
    <t>Обход п. Пятницкое, км 0+000 - км 5+000</t>
  </si>
  <si>
    <t>ИТОГО по Волоконовскому району</t>
  </si>
  <si>
    <t>Грайворонский городской округ</t>
  </si>
  <si>
    <t>«Головчино - Доброполье» - Горьковский,              км 0+000 - км 1+700</t>
  </si>
  <si>
    <t>ИТОГО по Грайворонскому городскому округу</t>
  </si>
  <si>
    <t>Губкинский городской округ</t>
  </si>
  <si>
    <t>Скородное - Кочки, км 7+100 - км 11+000</t>
  </si>
  <si>
    <t>Короча - Губкин - граница Курской области,   км 23+000 - км 29+000</t>
  </si>
  <si>
    <t>ИТОГО по Губкинскому городскому округу</t>
  </si>
  <si>
    <t>Ивнянский район</t>
  </si>
  <si>
    <t>«Крым» - Ивня - Ракитное - Курасовка,             км 0+000 - км 2+300</t>
  </si>
  <si>
    <t>Ивня - Песчаное - Череново,                              км 0+000 - км 3+070 - 2025 год;                        км 3+070 - км 7+370 - 2026 год</t>
  </si>
  <si>
    <t>«Крым» - Сухосолотино, км 0+000 - км 4+300</t>
  </si>
  <si>
    <t>ИТОГО по Ивнянскому району</t>
  </si>
  <si>
    <t>Корочанский район</t>
  </si>
  <si>
    <t>«Короча - Чернянка - Красное» - Бубново - Васильдол, км 0+000 - км 4+100</t>
  </si>
  <si>
    <t>Короча - Губкин - граница Курской области,   км 13+500 -км 19+500</t>
  </si>
  <si>
    <t>ИТОГО по Корочанскому району</t>
  </si>
  <si>
    <t>Красненский район</t>
  </si>
  <si>
    <t>Короча - Чернянка - Красное - Новосолдатка, км 0+000 - км 3+900</t>
  </si>
  <si>
    <t>Красное - Польниково, км 0+000 - км 4+200</t>
  </si>
  <si>
    <t>«Камызино - Новоуколово - Владимировка - Обуховка» - Ураково, км 0+000 - км 1+2000</t>
  </si>
  <si>
    <t>«Красное - Свистовка - Киселевка» - Малиново, км 0+000 - км 2+100</t>
  </si>
  <si>
    <t>ИТОГО по Красненскому району</t>
  </si>
  <si>
    <t>«Котляров - Ливенка» - Ковалев,                       км 0+000 - км 4+400</t>
  </si>
  <si>
    <t xml:space="preserve">«Белгород - Новый Оскол - Советское» - Веселое - Николаевский с подъездом к селу Николаевский, км 6+000 - км 11+400 </t>
  </si>
  <si>
    <t>ИТОГО по Красногвардейскому району</t>
  </si>
  <si>
    <t>Краснояружский район</t>
  </si>
  <si>
    <t>Красная Яруга - Степное - Семейный -              Илек-Кошары, км 3+700 - 6+800</t>
  </si>
  <si>
    <t>ИТОГО по Краснояружскому району</t>
  </si>
  <si>
    <t>Новооскольский муниципальный округ</t>
  </si>
  <si>
    <t xml:space="preserve">Новый Оскол - Ниновка, км 0+000 - км 2+226 </t>
  </si>
  <si>
    <r>
      <rPr>
        <sz val="16"/>
        <rFont val="Times New Roman"/>
        <family val="1"/>
        <charset val="204"/>
      </rPr>
      <t>«Белгород - Новый Оскол - Советское» - Богородское, км  0+053 - км 9+700</t>
    </r>
    <r>
      <rPr>
        <b/>
        <sz val="12"/>
        <rFont val="Times New Roman"/>
        <family val="1"/>
        <charset val="204"/>
      </rPr>
      <t xml:space="preserve"> </t>
    </r>
  </si>
  <si>
    <t>ИТОГО по Новооскольскому муниципальному округу</t>
  </si>
  <si>
    <t>Прохоровский  район</t>
  </si>
  <si>
    <t>Подольхи - Гнездиловка - Черновка,                 км 8+300 - км 11+800 - 2025 год;                      км 0+000 - км 8+300 - 2026 год</t>
  </si>
  <si>
    <t>Прохоровка - Плота - Ржавец - Казачье,                                                           км 25+500 - км 33+100</t>
  </si>
  <si>
    <t>ИТОГО по Прохоровскому району</t>
  </si>
  <si>
    <t>Ракитянский район</t>
  </si>
  <si>
    <t>Борисовка - Пролетарский,                                км 27+410 - км 30+230</t>
  </si>
  <si>
    <t xml:space="preserve">   </t>
  </si>
  <si>
    <t>«Томаровка - Красная Яруга -                             Илек-Пеньковка - Колотиловка» - Коровино,   км  6+300 - км 9+800</t>
  </si>
  <si>
    <t>ИТОГО по Ракитянскому району:</t>
  </si>
  <si>
    <t>Ровеньский район</t>
  </si>
  <si>
    <t>«Белгород - Новый Оскол - Советское» - Айдар, км 32+250 - км 38+268</t>
  </si>
  <si>
    <t>«Белгород - Новый Оскол - Советское» - Айдар, км 23+250 - км 27+000</t>
  </si>
  <si>
    <t>ИТОГО по Ровеньскому району</t>
  </si>
  <si>
    <t>Старооскольский городской округ</t>
  </si>
  <si>
    <t>Владимировка - Новоалександровка - Ларисовка, км 1+820 - км 8+630</t>
  </si>
  <si>
    <t>Шаталовка - Потудань, км 0+000 - км 6+000</t>
  </si>
  <si>
    <t>Магистраль 1-1, км 15+515 - км 21+515</t>
  </si>
  <si>
    <t>ИТОГО по Старооскольскому городскому округу</t>
  </si>
  <si>
    <t>Красный Остров - Русская Халань,                    км 0+000 - км 3+800</t>
  </si>
  <si>
    <t>«Короча - Чернянка - Красное» - Новая Масловка, км 0+000 - км 5+000</t>
  </si>
  <si>
    <t>ИТОГО по Чернянскому району</t>
  </si>
  <si>
    <t>Шебекинский муниципальный округ</t>
  </si>
  <si>
    <t>Артельное - Булановка - Бершаково,                 км 0+000 - км 8+320</t>
  </si>
  <si>
    <t>Максимовка - Мешковое - Терезовка,                                   км 0+000 - км 9+500</t>
  </si>
  <si>
    <t>ИТОГО по Шебекинскому муниципальному округу</t>
  </si>
  <si>
    <t>Яковлевский муниципальный округ</t>
  </si>
  <si>
    <t>Жданов - Гостищево, км 0+000 - км 3+230</t>
  </si>
  <si>
    <t>Томаровка - Строитель - «Крым»,                      км 0+000 - км 6+400</t>
  </si>
  <si>
    <t>ИТОГО по Яковлевскому муниципальному округу</t>
  </si>
  <si>
    <t>город Белгород</t>
  </si>
  <si>
    <t>ИТОГО по городу Белгороду</t>
  </si>
  <si>
    <t>резерв</t>
  </si>
  <si>
    <t xml:space="preserve">ВСЕГО  по искусственным сооружениям  </t>
  </si>
  <si>
    <t xml:space="preserve"> - регионального значения, из них: </t>
  </si>
  <si>
    <t>авансы 2023 год</t>
  </si>
  <si>
    <t xml:space="preserve"> - реконструировано</t>
  </si>
  <si>
    <t xml:space="preserve"> - капитально отремонтировано</t>
  </si>
  <si>
    <t xml:space="preserve"> - отремонтировано</t>
  </si>
  <si>
    <t xml:space="preserve"> - местного значения, из них: </t>
  </si>
  <si>
    <t>Ремонт путепровода через железную дорогу  на ул. Революционная в городе Алексеевка Алексеевского городского округа Белгородской области</t>
  </si>
  <si>
    <t>Реконструкция мостового перехода через реку Черная Калитва на км 0+140 автомобильной дороги «Белгород - Новый Оскол - Советское» - Шапорево в Алексевском городском округе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</si>
  <si>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</si>
  <si>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</si>
  <si>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>Капитальный ремонт моста через р. Ворскла    на км 0+250 автомобильной дороги                  Борисовка - Пролетарский</t>
  </si>
  <si>
    <t>Ремонт моста через р. Ворскла на км 0+800 автомобильной дороги Порубежное - Теплое</t>
  </si>
  <si>
    <t xml:space="preserve">Капитальный ремонт моста через реку Валуй  на ул. Демьяна Бедного в городе Валуйки </t>
  </si>
  <si>
    <t xml:space="preserve">Ремонт путепровода через ж/д пути                    на км 75+080 автодороги Новый Оскол -Валуйки - Ровеньки </t>
  </si>
  <si>
    <t xml:space="preserve">      </t>
  </si>
  <si>
    <t>Ремонт моста через р. Валуй на км 1+200 автодороги «Валуйки - Алексеевка -                   Красное» - Филиппово - Верхний Моисей</t>
  </si>
  <si>
    <t>Ремонт моста через р. Ураева на км 100+930 автодороги Новый Оскол - Валуйки - Ровеньки</t>
  </si>
  <si>
    <t xml:space="preserve">Капитальный ремонт путепровода                     через железную дорогу на км 40+700               автодороги Новый Оскол - Валуйки - Ровеньки </t>
  </si>
  <si>
    <t xml:space="preserve">Капитальный ремонт путепровода                               через железную дорогу на км 41+490                                  автодороги Новый Оскол - Валуйки - Ровеньки </t>
  </si>
  <si>
    <t>Ремонт моста через р. Лозовая на км 66+500 автодороги Белгород - Грайворон - Козинка</t>
  </si>
  <si>
    <t xml:space="preserve">Ремонт моста через суходол                              на км 10+600 автодороги Скородное - Кочки </t>
  </si>
  <si>
    <t>Ремонт моста через р. Корень на км 8+900       автодороги Самойловка - Кощеево - Хмелевое</t>
  </si>
  <si>
    <t xml:space="preserve">Ремонт моста через р. Короча на км 0+000       автодороги Подъезд к селу Бехтеевка </t>
  </si>
  <si>
    <t xml:space="preserve">Капитальный ремонт путепровода через железную дорогу на ул. Кооперативная            в городе Новый Оскол </t>
  </si>
  <si>
    <t>Прохоровский район</t>
  </si>
  <si>
    <t>Ремонт моста через р.Северский Донец            на км 35+010 а/д Короча - Новая Слободка -Хмелевое - Призначное</t>
  </si>
  <si>
    <t xml:space="preserve">Ремонт путепровода по проспекту Алексея Угарова на пересечении магистралей I-I,          II-II (ул. Ерошенко) в городе Старый Оскол </t>
  </si>
  <si>
    <t xml:space="preserve">Ремонт путепровода над автодорогой                  в составе транспортной развязки на км 7+600  автодороги Магистраль 1-1                                             </t>
  </si>
  <si>
    <t xml:space="preserve">Ремонт путепровода над автодорогой                  в составе транспортной развязки на км 7+800  автодороги Магистраль 1-1                                             </t>
  </si>
  <si>
    <t xml:space="preserve">Ремонт путепровода над трамвайными путями в составе транспортной развязки на км 4+700 Магистрали 1-1                                                </t>
  </si>
  <si>
    <t xml:space="preserve">Ремонт путепровода над автомобильной дорогой  и трамвайными путями                        на км 15+700 автодороги  Магистраль 1-1                    </t>
  </si>
  <si>
    <t xml:space="preserve">Капитальный ремонт путепровода                     над Магистралью 1-1 в составе транспортной развязки на км 10+800 </t>
  </si>
  <si>
    <t>Ремонт моста через р. Котел на км 14+990 автомобильной дороги Магистраль 1-1</t>
  </si>
  <si>
    <t xml:space="preserve"> Чернянский район</t>
  </si>
  <si>
    <t xml:space="preserve">Ремонт моста через реку Оскол на участке       км  46+526 автодороги  Короча - Чернянка - Красное </t>
  </si>
  <si>
    <t>Ремонт моста через реку Нежеголь                    на ул. Пески в с. Нежеголь</t>
  </si>
  <si>
    <t>Подъезд к п. Новосадовый, км 0+010 -               км 1+410</t>
  </si>
  <si>
    <t xml:space="preserve">Таврово - Соломино - Разумное,                           км 0+000 - км 3+000 - 2025 год;                          км 3+000 - км 4+600 - 2026 год    </t>
  </si>
  <si>
    <t>«Белгород - Новый Оскол - Советское» - Замостье, км 0+000 - км 2+200</t>
  </si>
  <si>
    <t>«Еремовка - Ровеньки - Нижняя Серебрянка» - Верхняя Серебрянка, км 0+000 - км 3+500</t>
  </si>
  <si>
    <t>Нагорье - Ржевка - граница Воронежской области, км 0+000 - км 2+900</t>
  </si>
  <si>
    <t>Сапрыкино - Орлик, км 4+700 - км 7+500</t>
  </si>
  <si>
    <t>Гезов - Хлевище - Попасный - Мирный,            0+000 - км 7+606</t>
  </si>
  <si>
    <t xml:space="preserve">«Томаровка -Красная Яруга -                              Илек-Пеньковка - Колотиловка» - Коровино,   км 0+050 - км 6+300 </t>
  </si>
  <si>
    <t>Великомихайловка - Подвислое,                         км 0+018 - км 2+800</t>
  </si>
  <si>
    <t>Валуйки - Пристень - Борки,                                                   км 4+100 - км 8+187</t>
  </si>
  <si>
    <t>«Юго - Западный -2» - Комсомольский,               км 6+500 - км 7+900</t>
  </si>
  <si>
    <t>Протяжен-ность</t>
  </si>
  <si>
    <t>област-ной бюджет</t>
  </si>
  <si>
    <t>муници-пальный бюджет</t>
  </si>
  <si>
    <t>Приложение  № 1                 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транспортной системы и дорожной сети Белгородской области»</t>
  </si>
  <si>
    <t xml:space="preserve">«Борисовка - Хотмыжск - Никитское - Русская Березовка» - Дубино, км 0+000 -                                                    км 1+700 </t>
  </si>
  <si>
    <t xml:space="preserve">Беломестное - Слоновка - Николаевка - Львовка, км 0+000 - км 12+020;  км 23+485 -                      км 25+215                                       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</si>
</sst>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#,##0.000"/>
    <numFmt numFmtId="166" formatCode="#,##0.000_р_."/>
    <numFmt numFmtId="167" formatCode="0.00000"/>
    <numFmt numFmtId="168" formatCode="0.000"/>
    <numFmt numFmtId="169" formatCode="0.0"/>
    <numFmt numFmtId="170" formatCode="#,##0.0_р_."/>
    <numFmt numFmtId="171" formatCode="_-* #,##0.00_р_._-;\-* #,##0.00_р_._-;_-* \-??_р_._-;_-@_-"/>
    <numFmt numFmtId="172" formatCode="_-* #,##0.0_р_._-;\-* #,##0.0_р_._-;_-* \-??_р_._-;_-@_-"/>
    <numFmt numFmtId="173" formatCode="#,##0.0;[Red]#,##0.0"/>
    <numFmt numFmtId="174" formatCode="#,##0.00000"/>
  </numFmts>
  <fonts count="22">
    <font>
      <sz val="10"/>
      <name val="Arial Cyr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4">
    <xf numFmtId="0" fontId="0" fillId="0" borderId="0"/>
    <xf numFmtId="171" fontId="21" fillId="0" borderId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21" fillId="0" borderId="0"/>
    <xf numFmtId="0" fontId="4" fillId="0" borderId="0"/>
    <xf numFmtId="0" fontId="3" fillId="0" borderId="0"/>
    <xf numFmtId="0" fontId="4" fillId="0" borderId="0"/>
  </cellStyleXfs>
  <cellXfs count="175">
    <xf numFmtId="0" fontId="0" fillId="0" borderId="0" xfId="0"/>
    <xf numFmtId="0" fontId="5" fillId="0" borderId="0" xfId="13" applyFont="1" applyAlignment="1" applyProtection="1">
      <alignment horizontal="center"/>
    </xf>
    <xf numFmtId="0" fontId="5" fillId="0" borderId="0" xfId="13" applyFont="1" applyAlignment="1" applyProtection="1"/>
    <xf numFmtId="0" fontId="6" fillId="0" borderId="0" xfId="13" applyFont="1" applyAlignment="1" applyProtection="1">
      <alignment horizontal="center"/>
    </xf>
    <xf numFmtId="0" fontId="6" fillId="0" borderId="0" xfId="13" applyFont="1" applyAlignment="1" applyProtection="1"/>
    <xf numFmtId="0" fontId="7" fillId="0" borderId="0" xfId="13" applyFont="1" applyAlignment="1" applyProtection="1"/>
    <xf numFmtId="0" fontId="0" fillId="0" borderId="0" xfId="0" applyAlignment="1" applyProtection="1"/>
    <xf numFmtId="0" fontId="7" fillId="0" borderId="0" xfId="0" applyFont="1" applyAlignment="1" applyProtection="1">
      <alignment vertical="top" wrapText="1"/>
    </xf>
    <xf numFmtId="164" fontId="6" fillId="0" borderId="0" xfId="13" applyNumberFormat="1" applyFont="1" applyAlignment="1" applyProtection="1"/>
    <xf numFmtId="0" fontId="7" fillId="0" borderId="0" xfId="13" applyFont="1" applyAlignment="1" applyProtection="1">
      <alignment horizontal="center"/>
    </xf>
    <xf numFmtId="0" fontId="8" fillId="0" borderId="0" xfId="13" applyFont="1" applyAlignment="1" applyProtection="1">
      <alignment horizontal="center" vertical="center" wrapText="1"/>
    </xf>
    <xf numFmtId="0" fontId="9" fillId="0" borderId="0" xfId="0" applyFont="1" applyAlignment="1" applyProtection="1"/>
    <xf numFmtId="0" fontId="4" fillId="0" borderId="0" xfId="13" applyFont="1" applyAlignment="1" applyProtection="1"/>
    <xf numFmtId="164" fontId="8" fillId="0" borderId="1" xfId="13" applyNumberFormat="1" applyFont="1" applyBorder="1" applyAlignment="1" applyProtection="1">
      <alignment horizontal="center" vertical="center" wrapText="1"/>
    </xf>
    <xf numFmtId="0" fontId="4" fillId="0" borderId="0" xfId="13" applyFont="1" applyBorder="1" applyAlignment="1" applyProtection="1"/>
    <xf numFmtId="0" fontId="6" fillId="0" borderId="0" xfId="13" applyFont="1" applyBorder="1" applyAlignment="1" applyProtection="1"/>
    <xf numFmtId="0" fontId="11" fillId="0" borderId="6" xfId="13" applyFont="1" applyBorder="1" applyAlignment="1" applyProtection="1">
      <alignment horizontal="center" vertical="center" wrapText="1"/>
    </xf>
    <xf numFmtId="0" fontId="7" fillId="0" borderId="7" xfId="13" applyFont="1" applyBorder="1" applyAlignment="1" applyProtection="1">
      <alignment horizontal="center" vertical="center" wrapText="1"/>
    </xf>
    <xf numFmtId="0" fontId="7" fillId="0" borderId="6" xfId="13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6" fillId="0" borderId="1" xfId="13" applyFont="1" applyBorder="1" applyAlignment="1" applyProtection="1"/>
    <xf numFmtId="0" fontId="12" fillId="0" borderId="15" xfId="0" applyFont="1" applyBorder="1" applyAlignment="1" applyProtection="1">
      <alignment horizontal="center" vertical="top"/>
    </xf>
    <xf numFmtId="0" fontId="12" fillId="0" borderId="16" xfId="0" applyFont="1" applyBorder="1" applyAlignment="1" applyProtection="1">
      <alignment horizontal="center" vertical="top"/>
    </xf>
    <xf numFmtId="0" fontId="8" fillId="0" borderId="17" xfId="13" applyFont="1" applyBorder="1" applyAlignment="1" applyProtection="1">
      <alignment horizontal="center" vertical="top" wrapText="1"/>
    </xf>
    <xf numFmtId="0" fontId="14" fillId="0" borderId="7" xfId="0" applyFont="1" applyBorder="1" applyAlignment="1" applyProtection="1">
      <alignment horizontal="left" vertical="top" wrapText="1"/>
    </xf>
    <xf numFmtId="0" fontId="14" fillId="0" borderId="8" xfId="0" applyFont="1" applyBorder="1" applyAlignment="1" applyProtection="1">
      <alignment horizontal="left" vertical="top" wrapText="1"/>
    </xf>
    <xf numFmtId="164" fontId="8" fillId="0" borderId="7" xfId="13" applyNumberFormat="1" applyFont="1" applyBorder="1" applyAlignment="1" applyProtection="1">
      <alignment horizontal="center" vertical="center" wrapText="1"/>
    </xf>
    <xf numFmtId="164" fontId="8" fillId="0" borderId="8" xfId="13" applyNumberFormat="1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left" vertical="top" wrapText="1"/>
    </xf>
    <xf numFmtId="0" fontId="15" fillId="0" borderId="17" xfId="13" applyFont="1" applyBorder="1" applyAlignment="1" applyProtection="1">
      <alignment horizontal="center" vertical="top" wrapText="1"/>
    </xf>
    <xf numFmtId="0" fontId="15" fillId="0" borderId="7" xfId="13" applyFont="1" applyBorder="1" applyAlignment="1" applyProtection="1">
      <alignment horizontal="center" vertical="center" wrapText="1"/>
    </xf>
    <xf numFmtId="165" fontId="15" fillId="0" borderId="7" xfId="13" applyNumberFormat="1" applyFont="1" applyBorder="1" applyAlignment="1" applyProtection="1">
      <alignment horizontal="center" vertical="center" wrapText="1"/>
    </xf>
    <xf numFmtId="164" fontId="15" fillId="0" borderId="7" xfId="13" applyNumberFormat="1" applyFont="1" applyBorder="1" applyAlignment="1" applyProtection="1">
      <alignment horizontal="center" vertical="center" wrapText="1"/>
    </xf>
    <xf numFmtId="0" fontId="8" fillId="0" borderId="7" xfId="13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vertical="top" wrapText="1"/>
    </xf>
    <xf numFmtId="0" fontId="0" fillId="0" borderId="7" xfId="0" applyBorder="1" applyAlignment="1" applyProtection="1"/>
    <xf numFmtId="166" fontId="15" fillId="0" borderId="7" xfId="13" applyNumberFormat="1" applyFont="1" applyBorder="1" applyAlignment="1" applyProtection="1">
      <alignment horizontal="center" vertical="center" wrapText="1"/>
    </xf>
    <xf numFmtId="164" fontId="8" fillId="0" borderId="19" xfId="13" applyNumberFormat="1" applyFont="1" applyBorder="1" applyAlignment="1" applyProtection="1">
      <alignment horizontal="center" vertical="center" wrapText="1"/>
    </xf>
    <xf numFmtId="164" fontId="14" fillId="0" borderId="7" xfId="0" applyNumberFormat="1" applyFont="1" applyBorder="1" applyAlignment="1" applyProtection="1">
      <alignment horizontal="left" vertical="top" wrapText="1"/>
    </xf>
    <xf numFmtId="0" fontId="7" fillId="0" borderId="17" xfId="13" applyFont="1" applyBorder="1" applyAlignment="1" applyProtection="1">
      <alignment horizontal="center" wrapText="1"/>
    </xf>
    <xf numFmtId="0" fontId="13" fillId="0" borderId="18" xfId="0" applyFont="1" applyBorder="1" applyAlignment="1" applyProtection="1">
      <alignment vertical="center" wrapText="1"/>
    </xf>
    <xf numFmtId="0" fontId="15" fillId="0" borderId="7" xfId="13" applyFont="1" applyBorder="1" applyAlignment="1" applyProtection="1"/>
    <xf numFmtId="0" fontId="15" fillId="0" borderId="19" xfId="13" applyFont="1" applyBorder="1" applyAlignment="1" applyProtection="1"/>
    <xf numFmtId="167" fontId="4" fillId="0" borderId="0" xfId="13" applyNumberFormat="1" applyFont="1" applyAlignment="1" applyProtection="1"/>
    <xf numFmtId="0" fontId="15" fillId="0" borderId="0" xfId="13" applyFont="1" applyAlignment="1" applyProtection="1">
      <alignment vertical="center" wrapText="1"/>
    </xf>
    <xf numFmtId="3" fontId="8" fillId="0" borderId="7" xfId="13" applyNumberFormat="1" applyFont="1" applyBorder="1" applyAlignment="1" applyProtection="1">
      <alignment horizontal="center" vertical="center" wrapText="1"/>
    </xf>
    <xf numFmtId="165" fontId="8" fillId="0" borderId="7" xfId="13" applyNumberFormat="1" applyFont="1" applyBorder="1" applyAlignment="1" applyProtection="1">
      <alignment horizontal="center" vertical="center" wrapText="1"/>
    </xf>
    <xf numFmtId="164" fontId="8" fillId="0" borderId="18" xfId="13" applyNumberFormat="1" applyFont="1" applyBorder="1" applyAlignment="1" applyProtection="1">
      <alignment horizontal="center" vertical="center" wrapText="1"/>
    </xf>
    <xf numFmtId="164" fontId="15" fillId="0" borderId="0" xfId="13" applyNumberFormat="1" applyFont="1" applyAlignment="1" applyProtection="1">
      <alignment vertical="center" wrapText="1"/>
    </xf>
    <xf numFmtId="164" fontId="8" fillId="0" borderId="0" xfId="13" applyNumberFormat="1" applyFont="1" applyBorder="1" applyAlignment="1" applyProtection="1">
      <alignment horizontal="center" vertical="center" wrapText="1"/>
    </xf>
    <xf numFmtId="164" fontId="15" fillId="0" borderId="7" xfId="13" applyNumberFormat="1" applyFont="1" applyBorder="1" applyAlignment="1" applyProtection="1"/>
    <xf numFmtId="164" fontId="4" fillId="0" borderId="0" xfId="13" applyNumberFormat="1" applyFont="1" applyAlignment="1" applyProtection="1"/>
    <xf numFmtId="0" fontId="13" fillId="0" borderId="7" xfId="0" applyFont="1" applyBorder="1" applyAlignment="1" applyProtection="1">
      <alignment vertical="center" wrapText="1"/>
    </xf>
    <xf numFmtId="0" fontId="15" fillId="0" borderId="7" xfId="13" applyFont="1" applyBorder="1" applyAlignment="1" applyProtection="1">
      <alignment horizontal="left" vertical="center" wrapText="1"/>
    </xf>
    <xf numFmtId="164" fontId="15" fillId="0" borderId="8" xfId="13" applyNumberFormat="1" applyFont="1" applyBorder="1" applyAlignment="1" applyProtection="1">
      <alignment horizontal="center" vertical="center" wrapText="1"/>
    </xf>
    <xf numFmtId="0" fontId="7" fillId="0" borderId="17" xfId="13" applyFont="1" applyBorder="1" applyAlignment="1" applyProtection="1">
      <alignment horizontal="left" vertical="center" wrapText="1"/>
    </xf>
    <xf numFmtId="0" fontId="8" fillId="0" borderId="7" xfId="13" applyFont="1" applyBorder="1" applyAlignment="1" applyProtection="1">
      <alignment horizontal="center" vertical="center" wrapText="1"/>
    </xf>
    <xf numFmtId="164" fontId="15" fillId="0" borderId="18" xfId="13" applyNumberFormat="1" applyFont="1" applyBorder="1" applyAlignment="1" applyProtection="1">
      <alignment horizontal="center" vertical="center" wrapText="1"/>
    </xf>
    <xf numFmtId="168" fontId="15" fillId="0" borderId="7" xfId="13" applyNumberFormat="1" applyFont="1" applyBorder="1" applyAlignment="1" applyProtection="1">
      <alignment horizontal="center" vertical="center" wrapText="1"/>
    </xf>
    <xf numFmtId="3" fontId="15" fillId="0" borderId="7" xfId="13" applyNumberFormat="1" applyFont="1" applyBorder="1" applyAlignment="1" applyProtection="1">
      <alignment horizontal="center" vertical="center" wrapText="1"/>
    </xf>
    <xf numFmtId="166" fontId="15" fillId="0" borderId="7" xfId="12" applyNumberFormat="1" applyFont="1" applyBorder="1" applyAlignment="1" applyProtection="1">
      <alignment horizontal="center" vertical="center" wrapText="1"/>
    </xf>
    <xf numFmtId="0" fontId="8" fillId="0" borderId="17" xfId="13" applyFont="1" applyBorder="1" applyAlignment="1" applyProtection="1">
      <alignment horizontal="left" vertical="center" wrapText="1"/>
    </xf>
    <xf numFmtId="169" fontId="15" fillId="0" borderId="7" xfId="13" applyNumberFormat="1" applyFont="1" applyBorder="1" applyAlignment="1" applyProtection="1">
      <alignment horizontal="center" vertical="center" wrapText="1"/>
    </xf>
    <xf numFmtId="169" fontId="8" fillId="0" borderId="7" xfId="13" applyNumberFormat="1" applyFont="1" applyBorder="1" applyAlignment="1" applyProtection="1">
      <alignment horizontal="center" vertical="center" wrapText="1"/>
    </xf>
    <xf numFmtId="168" fontId="15" fillId="0" borderId="7" xfId="13" applyNumberFormat="1" applyFont="1" applyBorder="1" applyAlignment="1" applyProtection="1">
      <alignment horizontal="center" vertical="center"/>
    </xf>
    <xf numFmtId="3" fontId="15" fillId="0" borderId="7" xfId="13" applyNumberFormat="1" applyFont="1" applyBorder="1" applyAlignment="1" applyProtection="1">
      <alignment horizontal="center" vertical="center"/>
    </xf>
    <xf numFmtId="0" fontId="15" fillId="0" borderId="17" xfId="13" applyFont="1" applyBorder="1" applyAlignment="1" applyProtection="1">
      <alignment horizontal="center" wrapText="1"/>
    </xf>
    <xf numFmtId="170" fontId="15" fillId="0" borderId="7" xfId="12" applyNumberFormat="1" applyFont="1" applyBorder="1" applyAlignment="1" applyProtection="1">
      <alignment horizontal="center" vertical="center" wrapText="1"/>
    </xf>
    <xf numFmtId="164" fontId="15" fillId="0" borderId="7" xfId="12" applyNumberFormat="1" applyFont="1" applyBorder="1" applyAlignment="1" applyProtection="1">
      <alignment horizontal="center" vertical="center" wrapText="1"/>
    </xf>
    <xf numFmtId="2" fontId="8" fillId="0" borderId="7" xfId="13" applyNumberFormat="1" applyFont="1" applyBorder="1" applyAlignment="1" applyProtection="1">
      <alignment horizontal="center" vertical="center" wrapText="1"/>
    </xf>
    <xf numFmtId="4" fontId="15" fillId="0" borderId="7" xfId="13" applyNumberFormat="1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left" vertical="center" wrapText="1"/>
    </xf>
    <xf numFmtId="0" fontId="15" fillId="0" borderId="17" xfId="13" applyFont="1" applyBorder="1" applyAlignment="1" applyProtection="1">
      <alignment horizontal="center" vertical="center" wrapText="1"/>
    </xf>
    <xf numFmtId="170" fontId="15" fillId="0" borderId="7" xfId="13" applyNumberFormat="1" applyFont="1" applyBorder="1" applyAlignment="1" applyProtection="1">
      <alignment horizontal="center" vertical="center" wrapText="1"/>
    </xf>
    <xf numFmtId="169" fontId="15" fillId="0" borderId="7" xfId="0" applyNumberFormat="1" applyFont="1" applyBorder="1" applyAlignment="1" applyProtection="1">
      <alignment horizontal="left" vertical="center" wrapText="1"/>
    </xf>
    <xf numFmtId="0" fontId="7" fillId="0" borderId="7" xfId="13" applyFont="1" applyBorder="1" applyAlignment="1" applyProtection="1">
      <alignment horizontal="left" vertical="center" wrapText="1"/>
    </xf>
    <xf numFmtId="166" fontId="8" fillId="0" borderId="7" xfId="13" applyNumberFormat="1" applyFont="1" applyBorder="1" applyAlignment="1" applyProtection="1">
      <alignment horizontal="center" vertical="center" wrapText="1"/>
    </xf>
    <xf numFmtId="170" fontId="8" fillId="0" borderId="7" xfId="13" applyNumberFormat="1" applyFont="1" applyBorder="1" applyAlignment="1" applyProtection="1">
      <alignment horizontal="center" vertical="center" wrapText="1"/>
    </xf>
    <xf numFmtId="0" fontId="9" fillId="0" borderId="7" xfId="13" applyFont="1" applyBorder="1" applyAlignment="1" applyProtection="1">
      <alignment vertical="center" wrapText="1"/>
    </xf>
    <xf numFmtId="0" fontId="15" fillId="0" borderId="7" xfId="13" applyFont="1" applyBorder="1" applyAlignment="1" applyProtection="1">
      <alignment vertical="center" wrapText="1"/>
    </xf>
    <xf numFmtId="172" fontId="8" fillId="0" borderId="7" xfId="1" applyNumberFormat="1" applyFont="1" applyBorder="1" applyAlignment="1" applyProtection="1">
      <alignment horizontal="center" vertical="center" wrapText="1"/>
    </xf>
    <xf numFmtId="0" fontId="8" fillId="0" borderId="18" xfId="11" applyFont="1" applyBorder="1" applyAlignment="1" applyProtection="1">
      <alignment horizontal="center" vertical="center" wrapText="1"/>
    </xf>
    <xf numFmtId="164" fontId="18" fillId="0" borderId="7" xfId="13" applyNumberFormat="1" applyFont="1" applyBorder="1" applyAlignment="1" applyProtection="1">
      <alignment horizontal="center" vertical="center" wrapText="1"/>
    </xf>
    <xf numFmtId="3" fontId="15" fillId="0" borderId="18" xfId="13" applyNumberFormat="1" applyFont="1" applyBorder="1" applyAlignment="1" applyProtection="1">
      <alignment horizontal="center" vertical="center" wrapText="1"/>
    </xf>
    <xf numFmtId="3" fontId="15" fillId="0" borderId="8" xfId="13" applyNumberFormat="1" applyFont="1" applyBorder="1" applyAlignment="1" applyProtection="1">
      <alignment horizontal="center" vertical="center" wrapText="1"/>
    </xf>
    <xf numFmtId="168" fontId="8" fillId="0" borderId="7" xfId="13" applyNumberFormat="1" applyFont="1" applyBorder="1" applyAlignment="1" applyProtection="1">
      <alignment horizontal="center" vertical="center" wrapText="1"/>
    </xf>
    <xf numFmtId="168" fontId="8" fillId="0" borderId="18" xfId="13" applyNumberFormat="1" applyFont="1" applyBorder="1" applyAlignment="1" applyProtection="1">
      <alignment horizontal="center" vertical="center" wrapText="1"/>
    </xf>
    <xf numFmtId="0" fontId="8" fillId="0" borderId="17" xfId="13" applyFont="1" applyBorder="1" applyAlignment="1" applyProtection="1">
      <alignment horizontal="center" wrapText="1"/>
    </xf>
    <xf numFmtId="0" fontId="6" fillId="0" borderId="0" xfId="13" applyFont="1" applyAlignment="1" applyProtection="1">
      <alignment vertical="center" wrapText="1"/>
    </xf>
    <xf numFmtId="0" fontId="7" fillId="0" borderId="17" xfId="13" applyFont="1" applyBorder="1" applyAlignment="1" applyProtection="1">
      <alignment horizontal="center" vertical="top" wrapText="1"/>
    </xf>
    <xf numFmtId="164" fontId="14" fillId="0" borderId="7" xfId="0" applyNumberFormat="1" applyFont="1" applyBorder="1" applyAlignment="1" applyProtection="1">
      <alignment horizontal="center" vertical="center" wrapText="1"/>
    </xf>
    <xf numFmtId="164" fontId="14" fillId="0" borderId="8" xfId="0" applyNumberFormat="1" applyFont="1" applyBorder="1" applyAlignment="1" applyProtection="1">
      <alignment horizontal="center" vertical="center" wrapText="1"/>
    </xf>
    <xf numFmtId="164" fontId="6" fillId="0" borderId="0" xfId="13" applyNumberFormat="1" applyFont="1" applyAlignment="1" applyProtection="1">
      <alignment vertical="center" wrapText="1"/>
    </xf>
    <xf numFmtId="0" fontId="16" fillId="0" borderId="7" xfId="0" applyFont="1" applyBorder="1" applyAlignment="1" applyProtection="1">
      <alignment vertical="center" wrapText="1"/>
    </xf>
    <xf numFmtId="164" fontId="19" fillId="0" borderId="7" xfId="0" applyNumberFormat="1" applyFont="1" applyBorder="1" applyAlignment="1" applyProtection="1">
      <alignment horizontal="center" vertical="center" wrapText="1"/>
    </xf>
    <xf numFmtId="164" fontId="19" fillId="0" borderId="8" xfId="0" applyNumberFormat="1" applyFont="1" applyBorder="1" applyAlignment="1" applyProtection="1">
      <alignment horizontal="center" vertical="center" wrapText="1"/>
    </xf>
    <xf numFmtId="164" fontId="11" fillId="0" borderId="0" xfId="13" applyNumberFormat="1" applyFont="1" applyAlignment="1" applyProtection="1">
      <alignment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5" fillId="0" borderId="20" xfId="13" applyFont="1" applyBorder="1" applyAlignment="1" applyProtection="1">
      <alignment horizontal="center" vertical="top" wrapText="1"/>
    </xf>
    <xf numFmtId="3" fontId="8" fillId="0" borderId="18" xfId="13" applyNumberFormat="1" applyFont="1" applyBorder="1" applyAlignment="1" applyProtection="1">
      <alignment horizontal="center" vertical="center" wrapText="1"/>
    </xf>
    <xf numFmtId="3" fontId="8" fillId="0" borderId="8" xfId="13" applyNumberFormat="1" applyFont="1" applyBorder="1" applyAlignment="1" applyProtection="1">
      <alignment horizontal="center" vertical="center" wrapText="1"/>
    </xf>
    <xf numFmtId="164" fontId="15" fillId="0" borderId="18" xfId="9" applyNumberFormat="1" applyFont="1" applyBorder="1" applyAlignment="1" applyProtection="1">
      <alignment horizontal="center" vertical="center" wrapText="1"/>
    </xf>
    <xf numFmtId="164" fontId="8" fillId="0" borderId="21" xfId="9" applyNumberFormat="1" applyFont="1" applyBorder="1" applyAlignment="1" applyProtection="1">
      <alignment horizontal="left" vertical="center" wrapText="1"/>
    </xf>
    <xf numFmtId="164" fontId="17" fillId="0" borderId="18" xfId="13" applyNumberFormat="1" applyFont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left" vertical="center" wrapText="1"/>
    </xf>
    <xf numFmtId="0" fontId="6" fillId="0" borderId="7" xfId="13" applyFont="1" applyBorder="1" applyAlignment="1" applyProtection="1">
      <alignment vertical="center" wrapText="1"/>
    </xf>
    <xf numFmtId="0" fontId="15" fillId="0" borderId="7" xfId="13" applyFont="1" applyBorder="1" applyAlignment="1" applyProtection="1">
      <alignment horizontal="left" vertical="top" wrapText="1"/>
    </xf>
    <xf numFmtId="164" fontId="15" fillId="0" borderId="21" xfId="9" applyNumberFormat="1" applyFont="1" applyBorder="1" applyAlignment="1" applyProtection="1">
      <alignment horizontal="left" vertical="center" wrapText="1"/>
    </xf>
    <xf numFmtId="0" fontId="15" fillId="0" borderId="20" xfId="13" applyFont="1" applyBorder="1" applyAlignment="1" applyProtection="1">
      <alignment horizontal="center" vertical="center" wrapText="1"/>
    </xf>
    <xf numFmtId="0" fontId="5" fillId="0" borderId="0" xfId="13" applyFont="1" applyBorder="1" applyAlignment="1" applyProtection="1">
      <alignment horizontal="center" vertical="center" wrapText="1"/>
    </xf>
    <xf numFmtId="0" fontId="5" fillId="0" borderId="0" xfId="13" applyFont="1" applyAlignment="1" applyProtection="1">
      <alignment vertical="center" wrapText="1"/>
    </xf>
    <xf numFmtId="170" fontId="14" fillId="0" borderId="7" xfId="0" applyNumberFormat="1" applyFont="1" applyBorder="1" applyAlignment="1" applyProtection="1">
      <alignment horizontal="center" vertical="center" wrapText="1"/>
    </xf>
    <xf numFmtId="173" fontId="14" fillId="0" borderId="7" xfId="0" applyNumberFormat="1" applyFont="1" applyBorder="1" applyAlignment="1" applyProtection="1">
      <alignment horizontal="center" vertical="center" wrapText="1"/>
    </xf>
    <xf numFmtId="0" fontId="15" fillId="0" borderId="10" xfId="13" applyFont="1" applyBorder="1" applyAlignment="1" applyProtection="1">
      <alignment horizontal="center" vertical="top" wrapText="1"/>
    </xf>
    <xf numFmtId="0" fontId="15" fillId="0" borderId="11" xfId="13" applyFont="1" applyBorder="1" applyAlignment="1" applyProtection="1">
      <alignment horizontal="left" vertical="top" wrapText="1"/>
    </xf>
    <xf numFmtId="0" fontId="15" fillId="0" borderId="11" xfId="13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left" vertical="top" wrapText="1"/>
    </xf>
    <xf numFmtId="166" fontId="15" fillId="0" borderId="11" xfId="13" applyNumberFormat="1" applyFont="1" applyBorder="1" applyAlignment="1" applyProtection="1">
      <alignment horizontal="center" vertical="center" wrapText="1"/>
    </xf>
    <xf numFmtId="164" fontId="15" fillId="0" borderId="11" xfId="13" applyNumberFormat="1" applyFont="1" applyBorder="1" applyAlignment="1" applyProtection="1">
      <alignment horizontal="center" vertical="center" wrapText="1"/>
    </xf>
    <xf numFmtId="164" fontId="15" fillId="0" borderId="12" xfId="9" applyNumberFormat="1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left" vertical="top" wrapText="1"/>
    </xf>
    <xf numFmtId="0" fontId="14" fillId="0" borderId="13" xfId="0" applyFont="1" applyBorder="1" applyAlignment="1" applyProtection="1">
      <alignment horizontal="left" vertical="top" wrapText="1"/>
    </xf>
    <xf numFmtId="0" fontId="5" fillId="0" borderId="23" xfId="13" applyFont="1" applyBorder="1" applyAlignment="1" applyProtection="1">
      <alignment vertical="center" wrapText="1"/>
    </xf>
    <xf numFmtId="170" fontId="8" fillId="0" borderId="23" xfId="13" applyNumberFormat="1" applyFont="1" applyBorder="1" applyAlignment="1" applyProtection="1">
      <alignment horizontal="center" vertical="center" wrapText="1"/>
    </xf>
    <xf numFmtId="0" fontId="20" fillId="0" borderId="23" xfId="13" applyFont="1" applyBorder="1" applyAlignment="1" applyProtection="1">
      <alignment vertical="center" wrapText="1"/>
    </xf>
    <xf numFmtId="173" fontId="8" fillId="0" borderId="23" xfId="0" applyNumberFormat="1" applyFont="1" applyBorder="1" applyAlignment="1" applyProtection="1">
      <alignment horizontal="center" vertical="center"/>
    </xf>
    <xf numFmtId="0" fontId="4" fillId="0" borderId="23" xfId="13" applyFont="1" applyBorder="1" applyAlignment="1" applyProtection="1"/>
    <xf numFmtId="0" fontId="5" fillId="0" borderId="24" xfId="13" applyFont="1" applyBorder="1" applyAlignment="1" applyProtection="1">
      <alignment vertical="center" wrapText="1"/>
    </xf>
    <xf numFmtId="0" fontId="5" fillId="0" borderId="15" xfId="13" applyFont="1" applyBorder="1" applyAlignment="1" applyProtection="1">
      <alignment vertical="center" wrapText="1"/>
    </xf>
    <xf numFmtId="0" fontId="5" fillId="0" borderId="0" xfId="13" applyFont="1" applyAlignment="1" applyProtection="1">
      <alignment horizontal="center" vertical="center" wrapText="1"/>
    </xf>
    <xf numFmtId="164" fontId="8" fillId="0" borderId="7" xfId="13" applyNumberFormat="1" applyFont="1" applyBorder="1" applyAlignment="1" applyProtection="1">
      <alignment horizontal="center" wrapText="1"/>
    </xf>
    <xf numFmtId="174" fontId="15" fillId="0" borderId="7" xfId="13" applyNumberFormat="1" applyFont="1" applyBorder="1" applyAlignment="1" applyProtection="1">
      <alignment horizontal="center" vertical="center" wrapText="1"/>
    </xf>
    <xf numFmtId="169" fontId="15" fillId="0" borderId="15" xfId="0" applyNumberFormat="1" applyFont="1" applyBorder="1" applyAlignment="1" applyProtection="1">
      <alignment horizontal="left" vertical="center" wrapText="1"/>
    </xf>
    <xf numFmtId="165" fontId="15" fillId="0" borderId="15" xfId="13" applyNumberFormat="1" applyFont="1" applyBorder="1" applyAlignment="1" applyProtection="1">
      <alignment horizontal="center" vertical="center" wrapText="1"/>
    </xf>
    <xf numFmtId="0" fontId="15" fillId="0" borderId="7" xfId="13" applyFont="1" applyFill="1" applyBorder="1" applyAlignment="1" applyProtection="1">
      <alignment horizontal="left" vertical="center" wrapText="1"/>
    </xf>
    <xf numFmtId="4" fontId="14" fillId="0" borderId="7" xfId="0" applyNumberFormat="1" applyFont="1" applyBorder="1" applyAlignment="1" applyProtection="1">
      <alignment horizontal="center" vertical="center" wrapText="1"/>
    </xf>
    <xf numFmtId="0" fontId="7" fillId="0" borderId="8" xfId="13" applyFont="1" applyBorder="1" applyAlignment="1" applyProtection="1">
      <alignment horizontal="center" vertical="center" wrapText="1"/>
    </xf>
    <xf numFmtId="0" fontId="7" fillId="0" borderId="6" xfId="13" applyFont="1" applyBorder="1" applyAlignment="1" applyProtection="1">
      <alignment horizontal="center" vertical="center" wrapText="1"/>
    </xf>
    <xf numFmtId="0" fontId="7" fillId="0" borderId="7" xfId="13" applyFont="1" applyBorder="1" applyAlignment="1" applyProtection="1">
      <alignment horizontal="center" vertical="center" wrapText="1"/>
    </xf>
    <xf numFmtId="0" fontId="11" fillId="0" borderId="10" xfId="13" applyFont="1" applyBorder="1" applyAlignment="1" applyProtection="1">
      <alignment horizontal="center" vertical="center"/>
    </xf>
    <xf numFmtId="0" fontId="11" fillId="0" borderId="11" xfId="13" applyFont="1" applyBorder="1" applyAlignment="1" applyProtection="1">
      <alignment horizontal="center" vertical="center"/>
    </xf>
    <xf numFmtId="0" fontId="11" fillId="0" borderId="12" xfId="13" applyFont="1" applyBorder="1" applyAlignment="1" applyProtection="1">
      <alignment horizontal="center" vertical="center"/>
    </xf>
    <xf numFmtId="0" fontId="11" fillId="0" borderId="13" xfId="13" applyFont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vertical="center" wrapText="1"/>
    </xf>
    <xf numFmtId="0" fontId="7" fillId="0" borderId="17" xfId="13" applyFont="1" applyBorder="1" applyAlignment="1" applyProtection="1">
      <alignment horizontal="center" vertical="center" wrapText="1"/>
    </xf>
    <xf numFmtId="0" fontId="8" fillId="0" borderId="22" xfId="13" applyFont="1" applyBorder="1" applyAlignment="1" applyProtection="1">
      <alignment horizontal="left" vertical="center" wrapText="1"/>
    </xf>
    <xf numFmtId="0" fontId="8" fillId="0" borderId="17" xfId="13" applyFont="1" applyBorder="1" applyAlignment="1" applyProtection="1">
      <alignment horizontal="center" vertical="center" wrapText="1"/>
    </xf>
    <xf numFmtId="0" fontId="8" fillId="0" borderId="17" xfId="13" applyFont="1" applyBorder="1" applyAlignment="1" applyProtection="1">
      <alignment horizontal="left" vertical="center" wrapText="1"/>
    </xf>
    <xf numFmtId="0" fontId="14" fillId="0" borderId="18" xfId="0" applyFont="1" applyBorder="1" applyAlignment="1" applyProtection="1">
      <alignment horizontal="left" vertical="top" wrapText="1"/>
    </xf>
    <xf numFmtId="0" fontId="7" fillId="0" borderId="17" xfId="11" applyFont="1" applyBorder="1" applyAlignment="1" applyProtection="1">
      <alignment horizontal="center" vertical="center" wrapText="1"/>
    </xf>
    <xf numFmtId="0" fontId="8" fillId="0" borderId="7" xfId="13" applyFont="1" applyBorder="1" applyAlignment="1" applyProtection="1">
      <alignment horizontal="center" vertical="center" wrapText="1"/>
    </xf>
    <xf numFmtId="0" fontId="7" fillId="0" borderId="17" xfId="13" applyFont="1" applyBorder="1" applyAlignment="1" applyProtection="1">
      <alignment horizontal="left" vertical="center" wrapText="1"/>
    </xf>
    <xf numFmtId="164" fontId="8" fillId="0" borderId="7" xfId="13" applyNumberFormat="1" applyFont="1" applyBorder="1" applyAlignment="1" applyProtection="1">
      <alignment horizontal="center" vertical="center" wrapText="1"/>
    </xf>
    <xf numFmtId="0" fontId="7" fillId="0" borderId="6" xfId="13" applyFont="1" applyBorder="1" applyAlignment="1" applyProtection="1">
      <alignment horizontal="center" vertical="center" wrapText="1"/>
    </xf>
    <xf numFmtId="0" fontId="7" fillId="0" borderId="7" xfId="13" applyFont="1" applyBorder="1" applyAlignment="1" applyProtection="1">
      <alignment horizontal="center" vertical="center" wrapText="1"/>
    </xf>
    <xf numFmtId="0" fontId="7" fillId="0" borderId="18" xfId="13" applyFont="1" applyBorder="1" applyAlignment="1" applyProtection="1">
      <alignment horizontal="center" vertical="center" wrapText="1"/>
    </xf>
    <xf numFmtId="0" fontId="7" fillId="0" borderId="19" xfId="13" applyFont="1" applyBorder="1" applyAlignment="1" applyProtection="1">
      <alignment horizontal="center" vertical="center" wrapText="1"/>
    </xf>
    <xf numFmtId="0" fontId="7" fillId="0" borderId="9" xfId="13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center" vertical="top"/>
    </xf>
    <xf numFmtId="0" fontId="11" fillId="0" borderId="6" xfId="13" applyFont="1" applyBorder="1" applyAlignment="1" applyProtection="1">
      <alignment horizontal="center" vertical="center" wrapText="1"/>
    </xf>
    <xf numFmtId="0" fontId="11" fillId="0" borderId="7" xfId="13" applyFont="1" applyBorder="1" applyAlignment="1" applyProtection="1">
      <alignment horizontal="center" vertical="center" wrapText="1"/>
    </xf>
    <xf numFmtId="0" fontId="7" fillId="0" borderId="7" xfId="13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top" wrapText="1"/>
    </xf>
    <xf numFmtId="0" fontId="13" fillId="0" borderId="19" xfId="0" applyFont="1" applyBorder="1" applyAlignment="1" applyProtection="1">
      <alignment horizontal="left" vertical="top" wrapText="1"/>
    </xf>
    <xf numFmtId="0" fontId="8" fillId="0" borderId="0" xfId="13" applyFont="1" applyBorder="1" applyAlignment="1" applyProtection="1">
      <alignment horizontal="center" vertical="center" wrapText="1"/>
    </xf>
    <xf numFmtId="49" fontId="7" fillId="0" borderId="2" xfId="10" applyNumberFormat="1" applyFont="1" applyBorder="1" applyAlignment="1" applyProtection="1">
      <alignment horizontal="center" vertical="center" wrapText="1"/>
    </xf>
    <xf numFmtId="49" fontId="7" fillId="0" borderId="3" xfId="10" applyNumberFormat="1" applyFont="1" applyBorder="1" applyAlignment="1" applyProtection="1">
      <alignment horizontal="center" vertical="center" wrapText="1"/>
    </xf>
    <xf numFmtId="49" fontId="8" fillId="0" borderId="4" xfId="10" applyNumberFormat="1" applyFont="1" applyBorder="1" applyAlignment="1" applyProtection="1">
      <alignment horizontal="center" vertical="center" wrapText="1"/>
    </xf>
    <xf numFmtId="0" fontId="7" fillId="0" borderId="4" xfId="13" applyFont="1" applyBorder="1" applyAlignment="1" applyProtection="1">
      <alignment horizontal="center" vertical="center"/>
    </xf>
    <xf numFmtId="0" fontId="11" fillId="0" borderId="4" xfId="13" applyFont="1" applyBorder="1" applyAlignment="1" applyProtection="1">
      <alignment horizontal="center" vertical="center" wrapText="1"/>
    </xf>
    <xf numFmtId="0" fontId="7" fillId="0" borderId="5" xfId="13" applyFont="1" applyBorder="1" applyAlignment="1" applyProtection="1">
      <alignment horizontal="center" vertical="center"/>
    </xf>
    <xf numFmtId="0" fontId="11" fillId="0" borderId="6" xfId="13" applyFont="1" applyBorder="1" applyAlignment="1" applyProtection="1">
      <alignment horizontal="center" vertical="center"/>
    </xf>
    <xf numFmtId="0" fontId="7" fillId="0" borderId="8" xfId="13" applyFont="1" applyBorder="1" applyAlignment="1" applyProtection="1">
      <alignment horizontal="center" vertical="center"/>
    </xf>
    <xf numFmtId="0" fontId="7" fillId="0" borderId="8" xfId="13" applyFont="1" applyBorder="1" applyAlignment="1" applyProtection="1">
      <alignment horizontal="center" vertical="center" wrapText="1"/>
    </xf>
    <xf numFmtId="0" fontId="10" fillId="0" borderId="0" xfId="13" applyFont="1" applyBorder="1" applyAlignment="1" applyProtection="1">
      <alignment horizontal="center" vertical="center"/>
    </xf>
  </cellXfs>
  <cellStyles count="14">
    <cellStyle name="Обычный" xfId="0" builtinId="0"/>
    <cellStyle name="Обычный 13" xfId="2"/>
    <cellStyle name="Обычный 13 2" xfId="3"/>
    <cellStyle name="Обычный 14" xfId="4"/>
    <cellStyle name="Обычный 14 2" xfId="5"/>
    <cellStyle name="Обычный 21_СВОД по районам" xfId="6"/>
    <cellStyle name="Обычный 3" xfId="7"/>
    <cellStyle name="Обычный 4" xfId="8"/>
    <cellStyle name="Обычный 5" xfId="9"/>
    <cellStyle name="Обычный_3-РЕМОНТ_МОСТОВ на 2011год" xfId="10"/>
    <cellStyle name="Обычный_ВЫПОЛНЕНИЕ программы ИЖС-2010 год" xfId="11"/>
    <cellStyle name="Обычный_мероприятия (приложение 2 к 139-пп)" xfId="12"/>
    <cellStyle name="Стиль 1" xfId="13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4.12.204%20&#1073;&#1102;&#1076;&#1078;%2025-27%202&#1095;&#1090;%20&#1091;&#1090;&#1086;&#1095;&#1095;&#109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4.1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A432"/>
  <sheetViews>
    <sheetView tabSelected="1" view="pageBreakPreview" zoomScale="75" zoomScaleNormal="75" zoomScaleSheetLayoutView="75" zoomScalePageLayoutView="72" workbookViewId="0">
      <pane xSplit="3" ySplit="9" topLeftCell="E10" activePane="bottomRight" state="frozen"/>
      <selection pane="topRight" activeCell="D1" sqref="D1"/>
      <selection pane="bottomLeft" activeCell="A164" sqref="A164"/>
      <selection pane="bottomRight" activeCell="T206" sqref="T206"/>
    </sheetView>
  </sheetViews>
  <sheetFormatPr defaultColWidth="9.140625" defaultRowHeight="16.5"/>
  <cols>
    <col min="1" max="1" width="7.140625" style="1" customWidth="1"/>
    <col min="2" max="2" width="58.85546875" style="2" customWidth="1"/>
    <col min="3" max="3" width="13.7109375" style="2" customWidth="1"/>
    <col min="4" max="4" width="18.5703125" style="2" hidden="1" customWidth="1"/>
    <col min="5" max="5" width="13.42578125" style="2" customWidth="1"/>
    <col min="6" max="6" width="14.7109375" style="2" customWidth="1"/>
    <col min="7" max="7" width="22" style="2" customWidth="1"/>
    <col min="8" max="8" width="9.7109375" style="2" hidden="1" customWidth="1"/>
    <col min="9" max="9" width="16.140625" style="2" hidden="1" customWidth="1"/>
    <col min="10" max="10" width="16.42578125" style="2" hidden="1" customWidth="1"/>
    <col min="11" max="11" width="14.140625" style="2" hidden="1" customWidth="1"/>
    <col min="12" max="12" width="10.85546875" style="2" hidden="1" customWidth="1"/>
    <col min="13" max="13" width="16.7109375" style="2" hidden="1" customWidth="1"/>
    <col min="14" max="14" width="19" style="2" hidden="1" customWidth="1"/>
    <col min="15" max="15" width="16.5703125" style="2" hidden="1" customWidth="1"/>
    <col min="16" max="16" width="11.5703125" style="2" hidden="1" customWidth="1"/>
    <col min="17" max="17" width="17.7109375" style="2" hidden="1" customWidth="1"/>
    <col min="18" max="18" width="19.28515625" style="2" hidden="1" customWidth="1"/>
    <col min="19" max="19" width="18.28515625" style="2" hidden="1" customWidth="1"/>
    <col min="20" max="20" width="11.28515625" style="2" customWidth="1"/>
    <col min="21" max="21" width="11.85546875" style="2" customWidth="1"/>
    <col min="22" max="22" width="19" style="2" customWidth="1"/>
    <col min="23" max="23" width="21" style="2" customWidth="1"/>
    <col min="24" max="24" width="18.140625" style="2" customWidth="1"/>
    <col min="25" max="25" width="18.5703125" style="2" customWidth="1"/>
    <col min="26" max="26" width="12.28515625" style="2" customWidth="1"/>
    <col min="27" max="27" width="12" style="2" customWidth="1"/>
    <col min="28" max="28" width="19.28515625" style="2" customWidth="1"/>
    <col min="29" max="29" width="16.42578125" style="2" customWidth="1"/>
    <col min="30" max="30" width="18.42578125" style="2" customWidth="1"/>
    <col min="31" max="31" width="17.140625" style="2" customWidth="1"/>
    <col min="32" max="32" width="11.5703125" style="2" customWidth="1"/>
    <col min="33" max="33" width="10" style="2" customWidth="1"/>
    <col min="34" max="34" width="20.85546875" style="2" customWidth="1"/>
    <col min="35" max="35" width="17.28515625" style="2" customWidth="1"/>
    <col min="36" max="36" width="15.5703125" style="2" customWidth="1"/>
    <col min="37" max="37" width="52.7109375" style="2" customWidth="1"/>
    <col min="38" max="38" width="19.28515625" style="2" customWidth="1"/>
    <col min="39" max="39" width="19.7109375" style="2" customWidth="1"/>
    <col min="40" max="51" width="9.140625" style="2"/>
    <col min="52" max="52" width="10.28515625" style="2" customWidth="1"/>
    <col min="53" max="53" width="19.5703125" style="2" customWidth="1"/>
    <col min="54" max="16384" width="9.140625" style="2"/>
  </cols>
  <sheetData>
    <row r="1" spans="1:47" s="4" customFormat="1" ht="69" customHeight="1">
      <c r="A1" s="3"/>
      <c r="G1" s="5"/>
      <c r="H1" s="6"/>
      <c r="I1" s="6"/>
      <c r="J1" s="6"/>
      <c r="K1" s="6"/>
      <c r="M1" s="7"/>
      <c r="N1" s="7"/>
      <c r="O1" s="7"/>
      <c r="P1" s="7"/>
      <c r="R1" s="7"/>
      <c r="S1" s="7"/>
      <c r="T1" s="8"/>
      <c r="U1" s="9"/>
      <c r="V1" s="9"/>
      <c r="W1" s="9"/>
      <c r="X1" s="9"/>
      <c r="Y1" s="9"/>
      <c r="Z1" s="164" t="s">
        <v>197</v>
      </c>
      <c r="AA1" s="164"/>
      <c r="AB1" s="164"/>
      <c r="AC1" s="164"/>
      <c r="AD1" s="164"/>
      <c r="AE1" s="164"/>
      <c r="AF1" s="164"/>
      <c r="AG1" s="164"/>
      <c r="AH1" s="164"/>
      <c r="AI1" s="10"/>
      <c r="AJ1" s="10"/>
      <c r="AK1" s="11"/>
      <c r="AL1" s="11"/>
      <c r="AM1" s="11"/>
      <c r="AN1" s="11"/>
      <c r="AO1" s="11"/>
    </row>
    <row r="2" spans="1:47" s="4" customFormat="1" ht="19.5" customHeight="1">
      <c r="A2" s="3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2"/>
      <c r="AL2" s="12"/>
    </row>
    <row r="3" spans="1:47" s="4" customFormat="1" ht="36.75" customHeight="1">
      <c r="A3" s="174" t="s">
        <v>0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  <c r="AI3" s="174"/>
      <c r="AJ3" s="174"/>
      <c r="AK3" s="12"/>
      <c r="AL3" s="12"/>
    </row>
    <row r="4" spans="1:47" s="4" customFormat="1" ht="28.5" customHeight="1" thickBot="1">
      <c r="A4" s="3"/>
      <c r="AF4" s="13"/>
      <c r="AG4" s="13"/>
      <c r="AH4" s="13"/>
      <c r="AI4" s="13"/>
      <c r="AJ4" s="13"/>
      <c r="AK4" s="12"/>
      <c r="AL4" s="12"/>
    </row>
    <row r="5" spans="1:47" s="4" customFormat="1" ht="34.5" customHeight="1" thickBot="1">
      <c r="A5" s="165" t="s">
        <v>1</v>
      </c>
      <c r="B5" s="166" t="s">
        <v>2</v>
      </c>
      <c r="C5" s="166" t="s">
        <v>3</v>
      </c>
      <c r="D5" s="167" t="s">
        <v>4</v>
      </c>
      <c r="E5" s="168" t="s">
        <v>5</v>
      </c>
      <c r="F5" s="168"/>
      <c r="G5" s="168"/>
      <c r="H5" s="169" t="s">
        <v>6</v>
      </c>
      <c r="I5" s="169"/>
      <c r="J5" s="169"/>
      <c r="K5" s="169"/>
      <c r="L5" s="169" t="s">
        <v>7</v>
      </c>
      <c r="M5" s="169"/>
      <c r="N5" s="169"/>
      <c r="O5" s="169"/>
      <c r="P5" s="169" t="s">
        <v>8</v>
      </c>
      <c r="Q5" s="169"/>
      <c r="R5" s="169"/>
      <c r="S5" s="169"/>
      <c r="T5" s="170" t="s">
        <v>9</v>
      </c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4"/>
      <c r="AL5" s="14"/>
      <c r="AM5" s="15"/>
      <c r="AN5" s="15"/>
      <c r="AO5" s="15"/>
      <c r="AP5" s="15"/>
      <c r="AQ5" s="15"/>
      <c r="AR5" s="15"/>
      <c r="AS5" s="15"/>
      <c r="AT5" s="15"/>
      <c r="AU5" s="15"/>
    </row>
    <row r="6" spans="1:47" s="4" customFormat="1" ht="29.25" customHeight="1" thickBot="1">
      <c r="A6" s="165"/>
      <c r="B6" s="166"/>
      <c r="C6" s="166"/>
      <c r="D6" s="166"/>
      <c r="E6" s="168"/>
      <c r="F6" s="168"/>
      <c r="G6" s="168"/>
      <c r="H6" s="171" t="s">
        <v>10</v>
      </c>
      <c r="I6" s="160" t="s">
        <v>11</v>
      </c>
      <c r="J6" s="160"/>
      <c r="K6" s="160"/>
      <c r="L6" s="171" t="s">
        <v>10</v>
      </c>
      <c r="M6" s="160" t="s">
        <v>11</v>
      </c>
      <c r="N6" s="160"/>
      <c r="O6" s="160"/>
      <c r="P6" s="171" t="s">
        <v>10</v>
      </c>
      <c r="Q6" s="160" t="s">
        <v>11</v>
      </c>
      <c r="R6" s="160"/>
      <c r="S6" s="160"/>
      <c r="T6" s="161" t="s">
        <v>12</v>
      </c>
      <c r="U6" s="161"/>
      <c r="V6" s="161"/>
      <c r="W6" s="161"/>
      <c r="X6" s="161"/>
      <c r="Y6" s="161"/>
      <c r="Z6" s="161" t="s">
        <v>13</v>
      </c>
      <c r="AA6" s="161"/>
      <c r="AB6" s="161"/>
      <c r="AC6" s="161"/>
      <c r="AD6" s="161"/>
      <c r="AE6" s="161"/>
      <c r="AF6" s="172" t="s">
        <v>14</v>
      </c>
      <c r="AG6" s="172"/>
      <c r="AH6" s="172"/>
      <c r="AI6" s="172"/>
      <c r="AJ6" s="172"/>
      <c r="AK6" s="14"/>
      <c r="AL6" s="14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45.75" customHeight="1" thickBot="1">
      <c r="A7" s="165"/>
      <c r="B7" s="166"/>
      <c r="C7" s="166"/>
      <c r="D7" s="166"/>
      <c r="E7" s="161" t="s">
        <v>15</v>
      </c>
      <c r="F7" s="161"/>
      <c r="G7" s="153" t="s">
        <v>16</v>
      </c>
      <c r="H7" s="171"/>
      <c r="I7" s="159" t="s">
        <v>17</v>
      </c>
      <c r="J7" s="160" t="s">
        <v>18</v>
      </c>
      <c r="K7" s="160"/>
      <c r="L7" s="171"/>
      <c r="M7" s="159" t="s">
        <v>17</v>
      </c>
      <c r="N7" s="160" t="s">
        <v>18</v>
      </c>
      <c r="O7" s="160"/>
      <c r="P7" s="171"/>
      <c r="Q7" s="159" t="s">
        <v>17</v>
      </c>
      <c r="R7" s="160" t="s">
        <v>18</v>
      </c>
      <c r="S7" s="160"/>
      <c r="T7" s="155" t="s">
        <v>194</v>
      </c>
      <c r="U7" s="156"/>
      <c r="V7" s="153" t="s">
        <v>11</v>
      </c>
      <c r="W7" s="154" t="s">
        <v>18</v>
      </c>
      <c r="X7" s="154"/>
      <c r="Y7" s="154"/>
      <c r="Z7" s="155" t="s">
        <v>194</v>
      </c>
      <c r="AA7" s="156"/>
      <c r="AB7" s="153" t="s">
        <v>11</v>
      </c>
      <c r="AC7" s="154" t="s">
        <v>18</v>
      </c>
      <c r="AD7" s="154"/>
      <c r="AE7" s="154"/>
      <c r="AF7" s="155" t="s">
        <v>194</v>
      </c>
      <c r="AG7" s="156"/>
      <c r="AH7" s="157" t="s">
        <v>11</v>
      </c>
      <c r="AI7" s="173" t="s">
        <v>18</v>
      </c>
      <c r="AJ7" s="173"/>
      <c r="AK7" s="14"/>
      <c r="AL7" s="14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77.25" customHeight="1">
      <c r="A8" s="165"/>
      <c r="B8" s="166"/>
      <c r="C8" s="166"/>
      <c r="D8" s="167"/>
      <c r="E8" s="18" t="s">
        <v>10</v>
      </c>
      <c r="F8" s="18" t="s">
        <v>19</v>
      </c>
      <c r="G8" s="153"/>
      <c r="H8" s="171"/>
      <c r="I8" s="159"/>
      <c r="J8" s="16" t="s">
        <v>20</v>
      </c>
      <c r="K8" s="16" t="s">
        <v>21</v>
      </c>
      <c r="L8" s="171"/>
      <c r="M8" s="159"/>
      <c r="N8" s="16" t="s">
        <v>20</v>
      </c>
      <c r="O8" s="16" t="s">
        <v>21</v>
      </c>
      <c r="P8" s="171"/>
      <c r="Q8" s="159"/>
      <c r="R8" s="16" t="s">
        <v>20</v>
      </c>
      <c r="S8" s="16" t="s">
        <v>22</v>
      </c>
      <c r="T8" s="18" t="s">
        <v>10</v>
      </c>
      <c r="U8" s="18" t="s">
        <v>19</v>
      </c>
      <c r="V8" s="153"/>
      <c r="W8" s="138" t="s">
        <v>21</v>
      </c>
      <c r="X8" s="17" t="s">
        <v>20</v>
      </c>
      <c r="Y8" s="137" t="s">
        <v>196</v>
      </c>
      <c r="Z8" s="18" t="s">
        <v>10</v>
      </c>
      <c r="AA8" s="18" t="s">
        <v>19</v>
      </c>
      <c r="AB8" s="153"/>
      <c r="AC8" s="138" t="s">
        <v>21</v>
      </c>
      <c r="AD8" s="17" t="s">
        <v>20</v>
      </c>
      <c r="AE8" s="137" t="s">
        <v>196</v>
      </c>
      <c r="AF8" s="18" t="s">
        <v>10</v>
      </c>
      <c r="AG8" s="18" t="s">
        <v>19</v>
      </c>
      <c r="AH8" s="157"/>
      <c r="AI8" s="138" t="s">
        <v>21</v>
      </c>
      <c r="AJ8" s="136" t="s">
        <v>195</v>
      </c>
      <c r="AK8" s="19"/>
      <c r="AL8" s="14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3.25" customHeight="1" thickBot="1">
      <c r="A9" s="139">
        <v>1</v>
      </c>
      <c r="B9" s="140">
        <v>2</v>
      </c>
      <c r="C9" s="140">
        <v>3</v>
      </c>
      <c r="D9" s="20"/>
      <c r="E9" s="140">
        <v>4</v>
      </c>
      <c r="F9" s="140">
        <v>5</v>
      </c>
      <c r="G9" s="140">
        <v>6</v>
      </c>
      <c r="H9" s="140">
        <v>7</v>
      </c>
      <c r="I9" s="140"/>
      <c r="J9" s="140"/>
      <c r="K9" s="140"/>
      <c r="L9" s="140"/>
      <c r="M9" s="140"/>
      <c r="N9" s="140"/>
      <c r="O9" s="140"/>
      <c r="P9" s="140"/>
      <c r="Q9" s="140">
        <v>6</v>
      </c>
      <c r="R9" s="140">
        <v>7</v>
      </c>
      <c r="S9" s="140">
        <v>8</v>
      </c>
      <c r="T9" s="140">
        <v>7</v>
      </c>
      <c r="U9" s="140">
        <v>8</v>
      </c>
      <c r="V9" s="140">
        <v>9</v>
      </c>
      <c r="W9" s="140">
        <v>10</v>
      </c>
      <c r="X9" s="140">
        <v>11</v>
      </c>
      <c r="Y9" s="140">
        <v>12</v>
      </c>
      <c r="Z9" s="140">
        <v>13</v>
      </c>
      <c r="AA9" s="140">
        <v>14</v>
      </c>
      <c r="AB9" s="140">
        <v>15</v>
      </c>
      <c r="AC9" s="140">
        <v>16</v>
      </c>
      <c r="AD9" s="140">
        <v>17</v>
      </c>
      <c r="AE9" s="140">
        <v>18</v>
      </c>
      <c r="AF9" s="140">
        <v>19</v>
      </c>
      <c r="AG9" s="140">
        <v>20</v>
      </c>
      <c r="AH9" s="141">
        <v>21</v>
      </c>
      <c r="AI9" s="140">
        <v>22</v>
      </c>
      <c r="AJ9" s="142">
        <v>23</v>
      </c>
      <c r="AK9" s="19"/>
      <c r="AL9" s="14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33" customHeight="1">
      <c r="A10" s="158" t="s">
        <v>23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58"/>
      <c r="Z10" s="158"/>
      <c r="AA10" s="158"/>
      <c r="AB10" s="158"/>
      <c r="AC10" s="158"/>
      <c r="AD10" s="158"/>
      <c r="AE10" s="158"/>
      <c r="AF10" s="158"/>
      <c r="AG10" s="158"/>
      <c r="AH10" s="158"/>
      <c r="AI10" s="21"/>
      <c r="AJ10" s="22"/>
      <c r="AK10" s="19"/>
      <c r="AL10" s="14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33" customHeight="1">
      <c r="A11" s="23" t="s">
        <v>24</v>
      </c>
      <c r="B11" s="162" t="s">
        <v>25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24"/>
      <c r="AJ11" s="25"/>
      <c r="AK11" s="19"/>
      <c r="AL11" s="14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31.5" customHeight="1">
      <c r="A12" s="23">
        <v>1</v>
      </c>
      <c r="B12" s="162" t="s">
        <v>26</v>
      </c>
      <c r="C12" s="163"/>
      <c r="D12" s="24"/>
      <c r="E12" s="26">
        <f>E14+E16+E18</f>
        <v>5.3</v>
      </c>
      <c r="F12" s="26"/>
      <c r="G12" s="26">
        <f>G14+G16+G18</f>
        <v>371284.1924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6">
        <f>T14</f>
        <v>2.5</v>
      </c>
      <c r="U12" s="26"/>
      <c r="V12" s="26">
        <f>V14</f>
        <v>174477.09239999999</v>
      </c>
      <c r="W12" s="24"/>
      <c r="X12" s="26">
        <f>X14</f>
        <v>174477.09239999999</v>
      </c>
      <c r="Y12" s="24"/>
      <c r="Z12" s="26">
        <f>Z16</f>
        <v>2.8</v>
      </c>
      <c r="AA12" s="26"/>
      <c r="AB12" s="26">
        <f>AB16</f>
        <v>196807.1</v>
      </c>
      <c r="AC12" s="24"/>
      <c r="AD12" s="26">
        <f>AD16</f>
        <v>196807.1</v>
      </c>
      <c r="AE12" s="24"/>
      <c r="AF12" s="26"/>
      <c r="AG12" s="26"/>
      <c r="AH12" s="26"/>
      <c r="AI12" s="26"/>
      <c r="AJ12" s="27"/>
      <c r="AK12" s="19"/>
      <c r="AL12" s="14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6.25" customHeight="1">
      <c r="A13" s="144" t="s">
        <v>27</v>
      </c>
      <c r="B13" s="14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8"/>
      <c r="AI13" s="24"/>
      <c r="AJ13" s="25"/>
      <c r="AK13" s="19"/>
      <c r="AL13" s="14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30.75" customHeight="1">
      <c r="A14" s="29">
        <v>1</v>
      </c>
      <c r="B14" s="30" t="s">
        <v>28</v>
      </c>
      <c r="C14" s="30" t="s">
        <v>29</v>
      </c>
      <c r="D14" s="24"/>
      <c r="E14" s="31">
        <v>2.5</v>
      </c>
      <c r="F14" s="31"/>
      <c r="G14" s="32">
        <v>174477.09239999999</v>
      </c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31">
        <f>E14</f>
        <v>2.5</v>
      </c>
      <c r="U14" s="31"/>
      <c r="V14" s="32">
        <f>G14</f>
        <v>174477.09239999999</v>
      </c>
      <c r="W14" s="24"/>
      <c r="X14" s="32">
        <f>V14</f>
        <v>174477.09239999999</v>
      </c>
      <c r="Y14" s="24"/>
      <c r="Z14" s="24"/>
      <c r="AA14" s="24"/>
      <c r="AB14" s="24"/>
      <c r="AC14" s="24"/>
      <c r="AD14" s="24"/>
      <c r="AE14" s="24"/>
      <c r="AF14" s="24"/>
      <c r="AG14" s="24"/>
      <c r="AH14" s="28"/>
      <c r="AI14" s="24"/>
      <c r="AJ14" s="25"/>
      <c r="AK14" s="19"/>
      <c r="AL14" s="14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4" customHeight="1">
      <c r="A15" s="144" t="s">
        <v>30</v>
      </c>
      <c r="B15" s="144"/>
      <c r="C15" s="33"/>
      <c r="D15" s="24"/>
      <c r="E15" s="26"/>
      <c r="F15" s="26"/>
      <c r="G15" s="26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6"/>
      <c r="U15" s="26"/>
      <c r="V15" s="26"/>
      <c r="W15" s="24"/>
      <c r="X15" s="26"/>
      <c r="Y15" s="24"/>
      <c r="Z15" s="24"/>
      <c r="AA15" s="24"/>
      <c r="AB15" s="24"/>
      <c r="AC15" s="24"/>
      <c r="AD15" s="24"/>
      <c r="AE15" s="24"/>
      <c r="AF15" s="24"/>
      <c r="AG15" s="24"/>
      <c r="AH15" s="28"/>
      <c r="AI15" s="24"/>
      <c r="AJ15" s="25"/>
      <c r="AK15" s="19"/>
      <c r="AL15" s="14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41.25" customHeight="1">
      <c r="A16" s="29">
        <v>2</v>
      </c>
      <c r="B16" s="34" t="s">
        <v>31</v>
      </c>
      <c r="C16" s="30" t="s">
        <v>32</v>
      </c>
      <c r="D16" s="35"/>
      <c r="E16" s="36">
        <v>2.8</v>
      </c>
      <c r="F16" s="26"/>
      <c r="G16" s="32">
        <v>196807.1</v>
      </c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6"/>
      <c r="U16" s="26"/>
      <c r="V16" s="26"/>
      <c r="W16" s="24"/>
      <c r="X16" s="26"/>
      <c r="Y16" s="24"/>
      <c r="Z16" s="36">
        <f>E16</f>
        <v>2.8</v>
      </c>
      <c r="AA16" s="26"/>
      <c r="AB16" s="32">
        <f>G16</f>
        <v>196807.1</v>
      </c>
      <c r="AC16" s="24"/>
      <c r="AD16" s="32">
        <f>AB16</f>
        <v>196807.1</v>
      </c>
      <c r="AE16" s="24"/>
      <c r="AF16" s="24"/>
      <c r="AG16" s="24"/>
      <c r="AH16" s="28"/>
      <c r="AI16" s="24"/>
      <c r="AJ16" s="25"/>
      <c r="AK16" s="37"/>
      <c r="AL16" s="14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53" s="4" customFormat="1" ht="27" hidden="1" customHeight="1">
      <c r="A17" s="144" t="s">
        <v>33</v>
      </c>
      <c r="B17" s="144"/>
      <c r="C17" s="33"/>
      <c r="D17" s="24"/>
      <c r="E17" s="26"/>
      <c r="F17" s="26"/>
      <c r="G17" s="26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6"/>
      <c r="U17" s="26"/>
      <c r="V17" s="26"/>
      <c r="W17" s="24"/>
      <c r="X17" s="26"/>
      <c r="Y17" s="24"/>
      <c r="Z17" s="26"/>
      <c r="AA17" s="26"/>
      <c r="AB17" s="26"/>
      <c r="AC17" s="24"/>
      <c r="AD17" s="26"/>
      <c r="AE17" s="24"/>
      <c r="AF17" s="24"/>
      <c r="AG17" s="24"/>
      <c r="AH17" s="28"/>
      <c r="AI17" s="24"/>
      <c r="AJ17" s="25"/>
      <c r="AK17" s="37"/>
      <c r="AL17" s="14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53" s="4" customFormat="1" ht="50.25" hidden="1" customHeight="1">
      <c r="A18" s="29">
        <v>3</v>
      </c>
      <c r="B18" s="34" t="s">
        <v>34</v>
      </c>
      <c r="C18" s="30"/>
      <c r="D18" s="33"/>
      <c r="E18" s="31"/>
      <c r="F18" s="26"/>
      <c r="G18" s="32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6"/>
      <c r="U18" s="26"/>
      <c r="V18" s="130"/>
      <c r="W18" s="24"/>
      <c r="X18" s="26"/>
      <c r="Y18" s="24" t="s">
        <v>45</v>
      </c>
      <c r="Z18" s="26"/>
      <c r="AA18" s="26"/>
      <c r="AB18" s="26"/>
      <c r="AC18" s="24"/>
      <c r="AD18" s="26"/>
      <c r="AE18" s="24"/>
      <c r="AF18" s="36"/>
      <c r="AG18" s="26"/>
      <c r="AH18" s="32"/>
      <c r="AI18" s="24"/>
      <c r="AJ18" s="32"/>
      <c r="AK18" s="37"/>
      <c r="AL18" s="14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53" s="4" customFormat="1" ht="30" customHeight="1">
      <c r="A19" s="23">
        <v>2</v>
      </c>
      <c r="B19" s="162" t="s">
        <v>35</v>
      </c>
      <c r="C19" s="163"/>
      <c r="D19" s="24"/>
      <c r="E19" s="38"/>
      <c r="F19" s="24"/>
      <c r="G19" s="38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38"/>
      <c r="AC19" s="24"/>
      <c r="AD19" s="38"/>
      <c r="AE19" s="24"/>
      <c r="AF19" s="24"/>
      <c r="AG19" s="24"/>
      <c r="AH19" s="28"/>
      <c r="AI19" s="24"/>
      <c r="AJ19" s="25"/>
      <c r="AK19" s="37"/>
      <c r="AL19" s="14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53" s="44" customFormat="1" ht="29.1" customHeight="1">
      <c r="A20" s="39"/>
      <c r="B20" s="40" t="s">
        <v>36</v>
      </c>
      <c r="C20" s="41"/>
      <c r="D20" s="42"/>
      <c r="E20" s="26">
        <f>E22+E23</f>
        <v>361.53309999999999</v>
      </c>
      <c r="F20" s="32"/>
      <c r="G20" s="26">
        <f>G22+G23</f>
        <v>10196965.212219998</v>
      </c>
      <c r="H20" s="26" t="e">
        <f>#REF!+H39+H46+H54+H58+H68+H72+H77+H82+H89+H95+H99+H117+H130+H140+H145+H148</f>
        <v>#REF!</v>
      </c>
      <c r="I20" s="26" t="e">
        <f>#REF!+I39+I46+I54+I58+I68+I72+I77+I82+I89+I95+I99+I117+I130+I140+I145+I148</f>
        <v>#REF!</v>
      </c>
      <c r="J20" s="26" t="e">
        <f>#REF!+J39+J46+J54+J58+J68+J72+J77+J82+J89+J95+J99+J117+J130+J140+J145+J148</f>
        <v>#REF!</v>
      </c>
      <c r="K20" s="26" t="e">
        <f>#REF!+K39+K46+K54+K58+K68+K72+K77+K82+K89+K95+K99+K117+K130+K140+K145+K148</f>
        <v>#REF!</v>
      </c>
      <c r="L20" s="26" t="e">
        <f>#REF!+L39+L46+L54+L58+L68+L72+L77+L82+L89+L95+L99+L117+L130+L140+L145+L148</f>
        <v>#REF!</v>
      </c>
      <c r="M20" s="26" t="e">
        <f>#REF!+M39+M46+M54+M58+M68+M72+M77+M82+M89+M95+M99+M117+M130+M140+M145+M148</f>
        <v>#REF!</v>
      </c>
      <c r="N20" s="26" t="e">
        <f>#REF!+N39+N46+N54+N58+N68+N72+N77+N82+N89+N95+N99+N117+N130+N140+N145+N148</f>
        <v>#REF!</v>
      </c>
      <c r="O20" s="26" t="e">
        <f>#REF!+O39+O46+O54+O58+O68+O72+O77+O82+O89+O95+O99+O117+O130+O140+O145+O148</f>
        <v>#REF!</v>
      </c>
      <c r="P20" s="26" t="e">
        <f>#REF!+P39+P46+P54+P58+P68+P72+P77+P82+P89+P95+P99+P117+P130+P140+P145+P148</f>
        <v>#REF!</v>
      </c>
      <c r="Q20" s="26" t="e">
        <f>#REF!+Q39+Q46+Q54+Q58+Q68+Q72+Q77+Q82+Q89+Q95+Q99+Q117+Q130+Q140+Q145+Q148</f>
        <v>#REF!</v>
      </c>
      <c r="R20" s="26" t="e">
        <f>#REF!+R39+R46+R54+R58+R68+R72+R77+R82+R89+R95+R99+R117+R130+R140+R145+R148</f>
        <v>#REF!</v>
      </c>
      <c r="S20" s="26" t="e">
        <f>#REF!+S39+S46+S54+S58+S68+S72+S77+S82+S89+S95+S99+S117+S130+S140+S145+S148</f>
        <v>#REF!</v>
      </c>
      <c r="T20" s="26">
        <f>T39+T46+T54+T58+T68+T72+T77+T82+T89+T95+T99+T102+T112+T117+T123+T130+T135+T140+T145+T148</f>
        <v>110.98110000000001</v>
      </c>
      <c r="U20" s="26"/>
      <c r="V20" s="26">
        <f>V39+V46+V54+V58+V68+V72+V77+V82+V89+V95+V99+V108+V117+V130+V140+V145+V148+V149</f>
        <v>2694770.9122200003</v>
      </c>
      <c r="W20" s="26">
        <f>W39+W46+W54+W58+W68+W72+W77+W82+W89+W95+W99+W108+W117+W130+W140+W145+W148+W149</f>
        <v>3.1999999999534339</v>
      </c>
      <c r="X20" s="26">
        <f>X39+X46+X54+X58+X68+X72+X77+X82+X89+X95+X99+X108+X117+X130+X140+X145+X148+X149</f>
        <v>2694767.7122200001</v>
      </c>
      <c r="Y20" s="26"/>
      <c r="Z20" s="26">
        <f>Z39+Z46+Z54+Z58+Z68+Z77+Z82+Z89+Z95+Z99+Z102+Z108+Z112+Z117+Z123+Z130+Z135+Z140+Z145-0.03</f>
        <v>154.66999999999999</v>
      </c>
      <c r="AA20" s="26"/>
      <c r="AB20" s="26">
        <f>AB39+AB46+AB54+AB58+AB68+AB72+AB77+AB82+AB89+AB95+AB99+AB102+AB108+AB112+AB117+AB123+AB130+AB135+AB140+AB145+AB149</f>
        <v>3771138.8000000003</v>
      </c>
      <c r="AC20" s="26">
        <f>AC39+AC46+AC54+AC58+AC68+AC72+AC77+AC82+AC89+AC95+AC99+AC102+AC108+AC112+AC117+AC123+AC130+AC135+AC140+AC145+AC149</f>
        <v>2858805.5999999996</v>
      </c>
      <c r="AD20" s="26">
        <f>AD39+AD46+AD54+AD58+AD68+AD72+AD77+AD82+AD89+AD95+AD99+AD102+AD108+AD112+AD117+AD123+AD130+AD135+AD140+AD145+AD149</f>
        <v>912333.2</v>
      </c>
      <c r="AE20" s="26"/>
      <c r="AF20" s="26">
        <f>AF26+AF39+AF46+AF54+AF58+AF68+AF77+AF82+AF89+AF95+AF99+AF102+AF108+AF112+AF117+AF123+AF130+AF135+AF140+AF145</f>
        <v>104.152</v>
      </c>
      <c r="AG20" s="26"/>
      <c r="AH20" s="26">
        <f>AH26+AH39+AH46+AH54+AH58+AH68+AH77+AH82+AH89+AH95+AH99+AH102+AH108+AH112+AH117+AH123+AH130+AH135+AH140+AH145</f>
        <v>3927665.5</v>
      </c>
      <c r="AI20" s="26">
        <f>AI26+AI39+AI46+AI54+AI58+AI68+AI77+AI82+AI89+AI95+AI99+AI102+AI108+AI112+AI117+AI123+AI130+AI135+AI140+AI145</f>
        <v>3456345.64</v>
      </c>
      <c r="AJ20" s="27">
        <f>AJ26+AJ39+AJ46+AJ54+AJ58+AJ68+AJ77+AJ82+AJ89+AJ95+AJ99+AJ102+AJ108+AJ112+AJ117+AJ123+AJ130+AJ135+AJ140+AJ145</f>
        <v>471319.86</v>
      </c>
      <c r="AK20" s="26">
        <f>AH20+AB20+V20</f>
        <v>10393575.212220002</v>
      </c>
      <c r="AL20" s="43">
        <f>AI20/AH20*100</f>
        <v>88</v>
      </c>
      <c r="BA20" s="26">
        <v>3792827.38</v>
      </c>
    </row>
    <row r="21" spans="1:53" s="44" customFormat="1" ht="19.5" customHeight="1">
      <c r="A21" s="39"/>
      <c r="B21" s="143" t="s">
        <v>18</v>
      </c>
      <c r="C21" s="41"/>
      <c r="D21" s="42"/>
      <c r="E21" s="26"/>
      <c r="F21" s="26"/>
      <c r="G21" s="26"/>
      <c r="H21" s="26"/>
      <c r="I21" s="45"/>
      <c r="J21" s="45"/>
      <c r="K21" s="41"/>
      <c r="L21" s="26"/>
      <c r="M21" s="45"/>
      <c r="N21" s="45"/>
      <c r="O21" s="45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46"/>
      <c r="AC21" s="46"/>
      <c r="AD21" s="46"/>
      <c r="AE21" s="26"/>
      <c r="AF21" s="26"/>
      <c r="AG21" s="26"/>
      <c r="AH21" s="47"/>
      <c r="AI21" s="26"/>
      <c r="AJ21" s="27"/>
      <c r="AK21" s="48"/>
      <c r="AL21" s="12"/>
      <c r="BA21" s="49"/>
    </row>
    <row r="22" spans="1:53" s="44" customFormat="1" ht="26.25" customHeight="1">
      <c r="A22" s="39"/>
      <c r="B22" s="40" t="s">
        <v>37</v>
      </c>
      <c r="C22" s="50"/>
      <c r="D22" s="42"/>
      <c r="E22" s="26">
        <f>E25+E37+E44+E50+E51+E52+E53+E56+E57+E61+E65+E66+E67+E74+E75+E79+E80+E81+E87+E91+E92+E93+E94+E97+E101+E104+E105+E106+E107+E110+E111+E114+E115+E116+E119+E120+E121+E128+E132+E133+E134+E137+E142+E143+E149</f>
        <v>253.44300000000001</v>
      </c>
      <c r="F22" s="32"/>
      <c r="G22" s="26">
        <f>G25+G37+G44+G50+G51+G52+G53+G56+G57+G61+G65+G66+G67+G74+G75+G79+G80+G81+G87+G91+G92+G93+G94+G97+G101+G104+G105+G106+G107+G110+G111+G114+G115+G116+G119+G120+G121+G128+G132+G133+G134+G137+G142+G143+G149</f>
        <v>8280734.4122199975</v>
      </c>
      <c r="H22" s="26"/>
      <c r="I22" s="45"/>
      <c r="J22" s="45"/>
      <c r="K22" s="41"/>
      <c r="L22" s="26"/>
      <c r="M22" s="45"/>
      <c r="N22" s="45"/>
      <c r="O22" s="45"/>
      <c r="P22" s="26"/>
      <c r="Q22" s="26"/>
      <c r="R22" s="26"/>
      <c r="S22" s="26"/>
      <c r="T22" s="26">
        <f>T37+T44+T61+T79+T91+T114+T128+T137+T142</f>
        <v>36.61</v>
      </c>
      <c r="U22" s="26"/>
      <c r="V22" s="26">
        <f>V28+V34+V44+V61+V79+V91+V104+V114+V128+V137+V142+V149</f>
        <v>1244847.9122199998</v>
      </c>
      <c r="W22" s="26">
        <f>W37+W44+W61+W79+W91+W104+W114+W128+W137+W149</f>
        <v>3.1999999999534339</v>
      </c>
      <c r="X22" s="26">
        <f>X28+X34+X44+X61+X79+X91+X104+X114+X128+X137+X142+X149</f>
        <v>1244844.7122199999</v>
      </c>
      <c r="Y22" s="26"/>
      <c r="Z22" s="26">
        <f>Z28+Z29+Z30+Z34+Z35+Z36+Z42+Z50+Z51+Z56+Z65+Z66+Z74+Z80+Z84+Z92+Z97+Z101+Z104+Z105+Z106+Z110+Z115+Z119+Z120+Z126+Z132+Z133+Z142+Z149</f>
        <v>120.98099999999999</v>
      </c>
      <c r="AA22" s="26"/>
      <c r="AB22" s="26">
        <f>AB28+AB29+AB30+AB34+AB35+AB36+AB42+AB50+AB51+AB56+AB65+AB66+AB74+AB80+AB84+AB92+AB97+AB101+AB104+AB105+AB106+AB110+AB115+AB119+AB120+AB126+AB132+AB133+AB142+AB149</f>
        <v>3304831</v>
      </c>
      <c r="AC22" s="26">
        <f t="shared" ref="AC22:AD22" si="0">AC28+AC29+AC30+AC34+AC35+AC36+AC42+AC50+AC51+AC56+AC65+AC66+AC74+AC80+AC84+AC92+AC97+AC101+AC104+AC105+AC106+AC110+AC115+AC119+AC120+AC126+AC132+AC133+AC142+AC149</f>
        <v>2858805.6000000006</v>
      </c>
      <c r="AD22" s="26">
        <f t="shared" si="0"/>
        <v>446025.40000000014</v>
      </c>
      <c r="AE22" s="26"/>
      <c r="AF22" s="26">
        <f>AF20</f>
        <v>104.152</v>
      </c>
      <c r="AG22" s="26"/>
      <c r="AH22" s="47">
        <f>AH20</f>
        <v>3927665.5</v>
      </c>
      <c r="AI22" s="26">
        <f>AI20</f>
        <v>3456345.64</v>
      </c>
      <c r="AJ22" s="27">
        <f>AJ20</f>
        <v>471319.86</v>
      </c>
      <c r="AK22" s="26">
        <f>AH22+AB22+V22</f>
        <v>8477344.4122199994</v>
      </c>
      <c r="AL22" s="51">
        <f>AF22+Z22+T22</f>
        <v>261.74299999999999</v>
      </c>
      <c r="BA22" s="49"/>
    </row>
    <row r="23" spans="1:53" s="44" customFormat="1" ht="25.5" customHeight="1">
      <c r="A23" s="39"/>
      <c r="B23" s="52" t="s">
        <v>38</v>
      </c>
      <c r="C23" s="50"/>
      <c r="D23" s="41"/>
      <c r="E23" s="26">
        <f>E38+E45+E76+E88+E129+E139+E144+E147</f>
        <v>108.09009999999999</v>
      </c>
      <c r="F23" s="26"/>
      <c r="G23" s="26">
        <f>G38+G45+G76+G88+G129+G139+G144</f>
        <v>1916230.8</v>
      </c>
      <c r="H23" s="26"/>
      <c r="I23" s="45"/>
      <c r="J23" s="45"/>
      <c r="K23" s="41"/>
      <c r="L23" s="26"/>
      <c r="M23" s="45"/>
      <c r="N23" s="45"/>
      <c r="O23" s="45"/>
      <c r="P23" s="26"/>
      <c r="Q23" s="26"/>
      <c r="R23" s="26"/>
      <c r="S23" s="26"/>
      <c r="T23" s="26">
        <f>T38+T45+T76+T88+T129+T139+T144+T147</f>
        <v>74.371099999999998</v>
      </c>
      <c r="U23" s="26"/>
      <c r="V23" s="26">
        <f>V38+V45+V76+V88+V129+V139+V144+V147</f>
        <v>1449923</v>
      </c>
      <c r="W23" s="26"/>
      <c r="X23" s="26">
        <f>X38+X45+X76+X88+X129+X139+X144+X147</f>
        <v>1449923</v>
      </c>
      <c r="Y23" s="26"/>
      <c r="Z23" s="26">
        <f>Z38+Z45+Z76+Z88+Z129+Z139+Z144+Z147</f>
        <v>33.719000000000001</v>
      </c>
      <c r="AA23" s="26"/>
      <c r="AB23" s="26">
        <f>AB38+AB45+AB76+AB88+AB129+AB139+AB144+AB147</f>
        <v>466307.8</v>
      </c>
      <c r="AC23" s="26"/>
      <c r="AD23" s="26">
        <f>AD38+AD45+AD76+AD88+AD129+AD139+AD144+AD147</f>
        <v>466307.8</v>
      </c>
      <c r="AE23" s="26"/>
      <c r="AF23" s="26"/>
      <c r="AG23" s="26"/>
      <c r="AH23" s="47"/>
      <c r="AI23" s="26"/>
      <c r="AJ23" s="27"/>
      <c r="AK23" s="26">
        <f>AH23+AB23+V23</f>
        <v>1916230.8</v>
      </c>
      <c r="AL23" s="51">
        <f>AF23+Z23+T23</f>
        <v>108.09010000000001</v>
      </c>
      <c r="BA23" s="49"/>
    </row>
    <row r="24" spans="1:53" s="44" customFormat="1" ht="27.75" customHeight="1">
      <c r="A24" s="144" t="s">
        <v>27</v>
      </c>
      <c r="B24" s="144"/>
      <c r="C24" s="41"/>
      <c r="D24" s="41"/>
      <c r="E24" s="26"/>
      <c r="F24" s="26"/>
      <c r="G24" s="26"/>
      <c r="H24" s="26"/>
      <c r="I24" s="45"/>
      <c r="J24" s="45"/>
      <c r="K24" s="41"/>
      <c r="L24" s="26"/>
      <c r="M24" s="45"/>
      <c r="N24" s="45"/>
      <c r="O24" s="45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47"/>
      <c r="AI24" s="26"/>
      <c r="AJ24" s="27"/>
      <c r="AL24" s="12"/>
      <c r="BA24" s="49"/>
    </row>
    <row r="25" spans="1:53" s="44" customFormat="1" ht="43.5" customHeight="1">
      <c r="A25" s="29">
        <v>1</v>
      </c>
      <c r="B25" s="53" t="s">
        <v>189</v>
      </c>
      <c r="C25" s="30" t="s">
        <v>29</v>
      </c>
      <c r="D25" s="41"/>
      <c r="E25" s="31">
        <v>7.6059999999999999</v>
      </c>
      <c r="F25" s="31"/>
      <c r="G25" s="32">
        <f>229200+45000-7000</f>
        <v>267200</v>
      </c>
      <c r="H25" s="26"/>
      <c r="I25" s="45"/>
      <c r="J25" s="45"/>
      <c r="K25" s="41"/>
      <c r="L25" s="26"/>
      <c r="M25" s="45"/>
      <c r="N25" s="45"/>
      <c r="O25" s="45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31">
        <f>E25</f>
        <v>7.6059999999999999</v>
      </c>
      <c r="AG25" s="31"/>
      <c r="AH25" s="32">
        <f>G25</f>
        <v>267200</v>
      </c>
      <c r="AI25" s="32">
        <f>AH25*0.88</f>
        <v>235136</v>
      </c>
      <c r="AJ25" s="54">
        <f>AH25-AI25</f>
        <v>32064</v>
      </c>
      <c r="AL25" s="12"/>
      <c r="BA25" s="49"/>
    </row>
    <row r="26" spans="1:53" s="44" customFormat="1" ht="27.75" customHeight="1">
      <c r="A26" s="151" t="s">
        <v>39</v>
      </c>
      <c r="B26" s="151"/>
      <c r="C26" s="151"/>
      <c r="D26" s="41"/>
      <c r="E26" s="26">
        <f>SUM(E25)</f>
        <v>7.6059999999999999</v>
      </c>
      <c r="F26" s="26"/>
      <c r="G26" s="26">
        <f>SUM(G25)</f>
        <v>267200</v>
      </c>
      <c r="H26" s="26"/>
      <c r="I26" s="45"/>
      <c r="J26" s="45"/>
      <c r="K26" s="41"/>
      <c r="L26" s="26"/>
      <c r="M26" s="45"/>
      <c r="N26" s="45"/>
      <c r="O26" s="45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>
        <f>SUM(AF25)</f>
        <v>7.6059999999999999</v>
      </c>
      <c r="AG26" s="26"/>
      <c r="AH26" s="47">
        <f>SUM(AH25)</f>
        <v>267200</v>
      </c>
      <c r="AI26" s="26">
        <f>SUM(AI25)</f>
        <v>235136</v>
      </c>
      <c r="AJ26" s="27">
        <f>SUM(AJ25)</f>
        <v>32064</v>
      </c>
      <c r="AL26" s="12"/>
      <c r="BA26" s="49"/>
    </row>
    <row r="27" spans="1:53" s="44" customFormat="1" ht="28.5" customHeight="1">
      <c r="A27" s="144" t="s">
        <v>40</v>
      </c>
      <c r="B27" s="144"/>
      <c r="C27" s="152"/>
      <c r="D27" s="152"/>
      <c r="E27" s="152"/>
      <c r="F27" s="56"/>
      <c r="G27" s="26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2"/>
      <c r="U27" s="32"/>
      <c r="V27" s="32"/>
      <c r="W27" s="32"/>
      <c r="X27" s="32"/>
      <c r="Y27" s="32"/>
      <c r="Z27" s="32"/>
      <c r="AA27" s="30"/>
      <c r="AB27" s="32"/>
      <c r="AC27" s="32"/>
      <c r="AD27" s="32"/>
      <c r="AE27" s="32"/>
      <c r="AF27" s="32"/>
      <c r="AG27" s="32"/>
      <c r="AH27" s="57"/>
      <c r="AI27" s="32"/>
      <c r="AJ27" s="54"/>
      <c r="AK27" s="12"/>
      <c r="AL27" s="12"/>
    </row>
    <row r="28" spans="1:53" s="44" customFormat="1" ht="45.75" customHeight="1">
      <c r="A28" s="29">
        <v>2</v>
      </c>
      <c r="B28" s="53" t="s">
        <v>41</v>
      </c>
      <c r="C28" s="30" t="s">
        <v>42</v>
      </c>
      <c r="D28" s="30"/>
      <c r="E28" s="31">
        <f>14.635-8.245</f>
        <v>6.3900000000000006</v>
      </c>
      <c r="F28" s="31"/>
      <c r="G28" s="32">
        <f>V28+AB28</f>
        <v>301008.75906000001</v>
      </c>
      <c r="H28" s="58"/>
      <c r="I28" s="59"/>
      <c r="J28" s="59"/>
      <c r="K28" s="59"/>
      <c r="L28" s="31"/>
      <c r="M28" s="59"/>
      <c r="N28" s="59"/>
      <c r="O28" s="59"/>
      <c r="P28" s="31"/>
      <c r="Q28" s="59"/>
      <c r="R28" s="59"/>
      <c r="S28" s="59"/>
      <c r="T28" s="31"/>
      <c r="U28" s="32"/>
      <c r="V28" s="32">
        <f>150000+3263.48706+333.5004</f>
        <v>153596.98746</v>
      </c>
      <c r="W28" s="32"/>
      <c r="X28" s="32">
        <f>V28</f>
        <v>153596.98746</v>
      </c>
      <c r="Y28" s="32"/>
      <c r="Z28" s="31">
        <f>E28</f>
        <v>6.3900000000000006</v>
      </c>
      <c r="AA28" s="31"/>
      <c r="AB28" s="32">
        <v>147411.77160000001</v>
      </c>
      <c r="AC28" s="32">
        <v>138567.06317000001</v>
      </c>
      <c r="AD28" s="32">
        <f>AB28-AC28</f>
        <v>8844.7084299999988</v>
      </c>
      <c r="AE28" s="32"/>
      <c r="AF28" s="32"/>
      <c r="AG28" s="32"/>
      <c r="AH28" s="57"/>
      <c r="AI28" s="32"/>
      <c r="AJ28" s="54"/>
      <c r="AK28" s="12"/>
      <c r="AL28" s="12"/>
    </row>
    <row r="29" spans="1:53" s="44" customFormat="1" ht="42.4" customHeight="1">
      <c r="A29" s="29">
        <v>3</v>
      </c>
      <c r="B29" s="53" t="s">
        <v>43</v>
      </c>
      <c r="C29" s="30" t="s">
        <v>29</v>
      </c>
      <c r="D29" s="30"/>
      <c r="E29" s="31">
        <f>(2.975-0.02)+(9.02-6.67)</f>
        <v>5.3049999999999997</v>
      </c>
      <c r="F29" s="60"/>
      <c r="G29" s="32">
        <v>136547.54149999999</v>
      </c>
      <c r="H29" s="58"/>
      <c r="I29" s="59"/>
      <c r="J29" s="59"/>
      <c r="K29" s="59"/>
      <c r="L29" s="31"/>
      <c r="M29" s="59"/>
      <c r="N29" s="59"/>
      <c r="O29" s="59"/>
      <c r="P29" s="31"/>
      <c r="Q29" s="59"/>
      <c r="R29" s="59"/>
      <c r="S29" s="59"/>
      <c r="T29" s="31"/>
      <c r="U29" s="32"/>
      <c r="V29" s="32"/>
      <c r="W29" s="32"/>
      <c r="X29" s="32"/>
      <c r="Y29" s="32"/>
      <c r="Z29" s="31">
        <f>E29</f>
        <v>5.3049999999999997</v>
      </c>
      <c r="AA29" s="31"/>
      <c r="AB29" s="32">
        <v>136547.54149999999</v>
      </c>
      <c r="AC29" s="32">
        <v>128354.68703</v>
      </c>
      <c r="AD29" s="32">
        <f>AB29-AC29</f>
        <v>8192.8544699999911</v>
      </c>
      <c r="AE29" s="32"/>
      <c r="AF29" s="32"/>
      <c r="AG29" s="32"/>
      <c r="AH29" s="57"/>
      <c r="AI29" s="32"/>
      <c r="AJ29" s="54"/>
      <c r="AK29" s="12"/>
      <c r="AL29" s="12"/>
    </row>
    <row r="30" spans="1:53" s="44" customFormat="1" ht="25.9" customHeight="1">
      <c r="A30" s="29">
        <v>4</v>
      </c>
      <c r="B30" s="53" t="s">
        <v>44</v>
      </c>
      <c r="C30" s="30" t="s">
        <v>29</v>
      </c>
      <c r="D30" s="30"/>
      <c r="E30" s="60">
        <v>5.05</v>
      </c>
      <c r="F30" s="60"/>
      <c r="G30" s="32">
        <v>142804.11061999999</v>
      </c>
      <c r="H30" s="58"/>
      <c r="I30" s="59"/>
      <c r="J30" s="59"/>
      <c r="K30" s="59"/>
      <c r="L30" s="31"/>
      <c r="M30" s="59"/>
      <c r="N30" s="59"/>
      <c r="O30" s="59"/>
      <c r="P30" s="31"/>
      <c r="Q30" s="59"/>
      <c r="R30" s="59"/>
      <c r="S30" s="59"/>
      <c r="T30" s="31"/>
      <c r="U30" s="32"/>
      <c r="V30" s="32"/>
      <c r="W30" s="32"/>
      <c r="X30" s="32"/>
      <c r="Y30" s="32"/>
      <c r="Z30" s="31">
        <f>E30</f>
        <v>5.05</v>
      </c>
      <c r="AA30" s="31"/>
      <c r="AB30" s="32">
        <v>142804.11061999999</v>
      </c>
      <c r="AC30" s="32">
        <v>134235.86192</v>
      </c>
      <c r="AD30" s="32">
        <f>AB30-AC30</f>
        <v>8568.2486999999965</v>
      </c>
      <c r="AE30" s="32"/>
      <c r="AF30" s="32"/>
      <c r="AG30" s="32"/>
      <c r="AH30" s="57" t="s">
        <v>45</v>
      </c>
      <c r="AI30" s="32"/>
      <c r="AJ30" s="54"/>
      <c r="AK30" s="12"/>
      <c r="AL30" s="12"/>
    </row>
    <row r="31" spans="1:53" s="44" customFormat="1" ht="42.4" customHeight="1">
      <c r="A31" s="29">
        <v>5</v>
      </c>
      <c r="B31" s="71" t="s">
        <v>193</v>
      </c>
      <c r="C31" s="30" t="s">
        <v>42</v>
      </c>
      <c r="D31" s="30"/>
      <c r="E31" s="60">
        <v>1.4</v>
      </c>
      <c r="F31" s="60"/>
      <c r="G31" s="32">
        <f>124500</f>
        <v>124500</v>
      </c>
      <c r="H31" s="58"/>
      <c r="I31" s="59"/>
      <c r="J31" s="59"/>
      <c r="K31" s="59"/>
      <c r="L31" s="31"/>
      <c r="M31" s="59"/>
      <c r="N31" s="59"/>
      <c r="O31" s="59"/>
      <c r="P31" s="31"/>
      <c r="Q31" s="59"/>
      <c r="R31" s="59"/>
      <c r="S31" s="59"/>
      <c r="T31" s="31"/>
      <c r="U31" s="32"/>
      <c r="V31" s="32"/>
      <c r="W31" s="32"/>
      <c r="X31" s="32"/>
      <c r="Y31" s="32"/>
      <c r="Z31" s="31"/>
      <c r="AA31" s="31"/>
      <c r="AB31" s="32"/>
      <c r="AC31" s="32"/>
      <c r="AD31" s="32"/>
      <c r="AE31" s="32"/>
      <c r="AF31" s="60">
        <f>E31</f>
        <v>1.4</v>
      </c>
      <c r="AG31" s="32"/>
      <c r="AH31" s="57">
        <f>G31</f>
        <v>124500</v>
      </c>
      <c r="AI31" s="32">
        <f>AH31*0.88</f>
        <v>109560</v>
      </c>
      <c r="AJ31" s="54">
        <f>AH31-AI31</f>
        <v>14940</v>
      </c>
      <c r="AK31" s="12"/>
      <c r="AL31" s="12"/>
    </row>
    <row r="32" spans="1:53" s="44" customFormat="1" ht="26.85" customHeight="1">
      <c r="A32" s="29">
        <v>6</v>
      </c>
      <c r="B32" s="53" t="s">
        <v>47</v>
      </c>
      <c r="C32" s="30" t="s">
        <v>29</v>
      </c>
      <c r="D32" s="30"/>
      <c r="E32" s="60">
        <v>2.9</v>
      </c>
      <c r="F32" s="60"/>
      <c r="G32" s="32">
        <f>E32*30000+3500</f>
        <v>90500</v>
      </c>
      <c r="H32" s="58"/>
      <c r="I32" s="59"/>
      <c r="J32" s="59"/>
      <c r="K32" s="59"/>
      <c r="L32" s="31"/>
      <c r="M32" s="59"/>
      <c r="N32" s="59"/>
      <c r="O32" s="59"/>
      <c r="P32" s="31"/>
      <c r="Q32" s="59"/>
      <c r="R32" s="59"/>
      <c r="S32" s="59"/>
      <c r="T32" s="31"/>
      <c r="U32" s="32"/>
      <c r="V32" s="32" t="s">
        <v>48</v>
      </c>
      <c r="W32" s="32"/>
      <c r="X32" s="32"/>
      <c r="Y32" s="32"/>
      <c r="Z32" s="31"/>
      <c r="AA32" s="31"/>
      <c r="AB32" s="32"/>
      <c r="AC32" s="32"/>
      <c r="AD32" s="32"/>
      <c r="AE32" s="32"/>
      <c r="AF32" s="60">
        <f>E32</f>
        <v>2.9</v>
      </c>
      <c r="AG32" s="32"/>
      <c r="AH32" s="57">
        <f>G32</f>
        <v>90500</v>
      </c>
      <c r="AI32" s="32">
        <f>AH32*0.88</f>
        <v>79640</v>
      </c>
      <c r="AJ32" s="54">
        <f>AH32-AI32</f>
        <v>10860</v>
      </c>
      <c r="AK32" s="12"/>
      <c r="AL32" s="12"/>
    </row>
    <row r="33" spans="1:38" s="44" customFormat="1" ht="39.4" customHeight="1">
      <c r="A33" s="29">
        <v>7</v>
      </c>
      <c r="B33" s="53" t="s">
        <v>49</v>
      </c>
      <c r="C33" s="30" t="s">
        <v>42</v>
      </c>
      <c r="D33" s="30"/>
      <c r="E33" s="60">
        <v>1.48</v>
      </c>
      <c r="F33" s="60"/>
      <c r="G33" s="32">
        <f>E33*70000</f>
        <v>103600</v>
      </c>
      <c r="H33" s="58"/>
      <c r="I33" s="59"/>
      <c r="J33" s="59"/>
      <c r="K33" s="59"/>
      <c r="L33" s="31"/>
      <c r="M33" s="59"/>
      <c r="N33" s="59"/>
      <c r="O33" s="59"/>
      <c r="P33" s="31"/>
      <c r="Q33" s="59"/>
      <c r="R33" s="59"/>
      <c r="S33" s="59"/>
      <c r="T33" s="31"/>
      <c r="U33" s="32"/>
      <c r="V33" s="32"/>
      <c r="W33" s="32"/>
      <c r="X33" s="32"/>
      <c r="Y33" s="32"/>
      <c r="Z33" s="31"/>
      <c r="AA33" s="31"/>
      <c r="AB33" s="32"/>
      <c r="AC33" s="32"/>
      <c r="AD33" s="32"/>
      <c r="AE33" s="32"/>
      <c r="AF33" s="60">
        <f>E33</f>
        <v>1.48</v>
      </c>
      <c r="AG33" s="32"/>
      <c r="AH33" s="57">
        <f>G33</f>
        <v>103600</v>
      </c>
      <c r="AI33" s="32">
        <f>AH33*0.88</f>
        <v>91168</v>
      </c>
      <c r="AJ33" s="54">
        <f>AH33-AI33</f>
        <v>12432</v>
      </c>
      <c r="AK33" s="12"/>
      <c r="AL33" s="12"/>
    </row>
    <row r="34" spans="1:38" s="44" customFormat="1" ht="40.35" customHeight="1">
      <c r="A34" s="29">
        <v>8</v>
      </c>
      <c r="B34" s="53" t="s">
        <v>50</v>
      </c>
      <c r="C34" s="30" t="s">
        <v>29</v>
      </c>
      <c r="D34" s="30"/>
      <c r="E34" s="60">
        <f>3.65-0.745</f>
        <v>2.9049999999999998</v>
      </c>
      <c r="F34" s="60"/>
      <c r="G34" s="32">
        <f>V34+AB34</f>
        <v>79845.642900000006</v>
      </c>
      <c r="H34" s="58"/>
      <c r="I34" s="59"/>
      <c r="J34" s="59"/>
      <c r="K34" s="59"/>
      <c r="L34" s="31"/>
      <c r="M34" s="59"/>
      <c r="N34" s="59"/>
      <c r="O34" s="59"/>
      <c r="P34" s="31"/>
      <c r="Q34" s="59"/>
      <c r="R34" s="59"/>
      <c r="S34" s="59"/>
      <c r="T34" s="31"/>
      <c r="U34" s="32"/>
      <c r="V34" s="32">
        <v>50160.128109999998</v>
      </c>
      <c r="W34" s="32"/>
      <c r="X34" s="32">
        <f>V34</f>
        <v>50160.128109999998</v>
      </c>
      <c r="Y34" s="32"/>
      <c r="Z34" s="31">
        <f>E34</f>
        <v>2.9049999999999998</v>
      </c>
      <c r="AA34" s="31"/>
      <c r="AB34" s="32">
        <v>29685.514790000001</v>
      </c>
      <c r="AC34" s="32">
        <v>27904.383470000001</v>
      </c>
      <c r="AD34" s="32">
        <f>AB34-AC34</f>
        <v>1781.1313200000004</v>
      </c>
      <c r="AE34" s="32"/>
      <c r="AF34" s="60"/>
      <c r="AG34" s="32"/>
      <c r="AH34" s="57"/>
      <c r="AI34" s="32"/>
      <c r="AJ34" s="54"/>
      <c r="AK34" s="12"/>
      <c r="AL34" s="12"/>
    </row>
    <row r="35" spans="1:38" s="44" customFormat="1" ht="40.35" customHeight="1">
      <c r="A35" s="29">
        <v>9</v>
      </c>
      <c r="B35" s="53" t="s">
        <v>183</v>
      </c>
      <c r="C35" s="30" t="s">
        <v>29</v>
      </c>
      <c r="D35" s="30"/>
      <c r="E35" s="60">
        <v>1.4</v>
      </c>
      <c r="F35" s="60"/>
      <c r="G35" s="32">
        <v>36067.305959999998</v>
      </c>
      <c r="H35" s="58"/>
      <c r="I35" s="59"/>
      <c r="J35" s="59"/>
      <c r="K35" s="59"/>
      <c r="L35" s="31"/>
      <c r="M35" s="59"/>
      <c r="N35" s="59"/>
      <c r="O35" s="59"/>
      <c r="P35" s="31"/>
      <c r="Q35" s="59"/>
      <c r="R35" s="59"/>
      <c r="S35" s="59"/>
      <c r="T35" s="31"/>
      <c r="U35" s="32"/>
      <c r="V35" s="32"/>
      <c r="W35" s="32"/>
      <c r="X35" s="32"/>
      <c r="Y35" s="32"/>
      <c r="Z35" s="31">
        <f>E35</f>
        <v>1.4</v>
      </c>
      <c r="AA35" s="31"/>
      <c r="AB35" s="32">
        <f>G35</f>
        <v>36067.305959999998</v>
      </c>
      <c r="AC35" s="32">
        <v>33903.267079999998</v>
      </c>
      <c r="AD35" s="32">
        <f>AB35-AC35</f>
        <v>2164.0388800000001</v>
      </c>
      <c r="AE35" s="32"/>
      <c r="AF35" s="60"/>
      <c r="AG35" s="32"/>
      <c r="AH35" s="57"/>
      <c r="AI35" s="32"/>
      <c r="AJ35" s="54"/>
      <c r="AK35" s="12"/>
      <c r="AL35" s="12"/>
    </row>
    <row r="36" spans="1:38" s="44" customFormat="1" ht="63" customHeight="1">
      <c r="A36" s="29">
        <v>10</v>
      </c>
      <c r="B36" s="53" t="s">
        <v>184</v>
      </c>
      <c r="C36" s="30" t="s">
        <v>42</v>
      </c>
      <c r="D36" s="30"/>
      <c r="E36" s="60">
        <f>Z36+AF36</f>
        <v>4.5999999999999996</v>
      </c>
      <c r="F36" s="60"/>
      <c r="G36" s="32">
        <f>AB36+AH36</f>
        <v>405818.36258000002</v>
      </c>
      <c r="H36" s="58"/>
      <c r="I36" s="59"/>
      <c r="J36" s="59"/>
      <c r="K36" s="59"/>
      <c r="L36" s="31"/>
      <c r="M36" s="59"/>
      <c r="N36" s="59"/>
      <c r="O36" s="59"/>
      <c r="P36" s="31"/>
      <c r="Q36" s="59"/>
      <c r="R36" s="59"/>
      <c r="S36" s="59"/>
      <c r="T36" s="31"/>
      <c r="U36" s="32"/>
      <c r="V36" s="32"/>
      <c r="W36" s="32"/>
      <c r="X36" s="32"/>
      <c r="Y36" s="32"/>
      <c r="Z36" s="31">
        <v>3</v>
      </c>
      <c r="AA36" s="31"/>
      <c r="AB36" s="32">
        <v>263548.40000000002</v>
      </c>
      <c r="AC36" s="32"/>
      <c r="AD36" s="32">
        <f>AB36</f>
        <v>263548.40000000002</v>
      </c>
      <c r="AE36" s="32"/>
      <c r="AF36" s="60">
        <v>1.6</v>
      </c>
      <c r="AG36" s="32"/>
      <c r="AH36" s="57">
        <v>142269.96257999999</v>
      </c>
      <c r="AI36" s="32">
        <f>AH36*0.88</f>
        <v>125197.56707039999</v>
      </c>
      <c r="AJ36" s="54">
        <f>AH36-AI36</f>
        <v>17072.395509599999</v>
      </c>
      <c r="AK36" s="12"/>
      <c r="AL36" s="12"/>
    </row>
    <row r="37" spans="1:38" s="44" customFormat="1" ht="26.25" customHeight="1">
      <c r="A37" s="61"/>
      <c r="B37" s="53" t="s">
        <v>51</v>
      </c>
      <c r="C37" s="30"/>
      <c r="D37" s="30"/>
      <c r="E37" s="62">
        <f>SUM(E28:E36)</f>
        <v>31.43</v>
      </c>
      <c r="F37" s="32"/>
      <c r="G37" s="32">
        <f>SUM(G28:G36)</f>
        <v>1420691.7226200001</v>
      </c>
      <c r="H37" s="62"/>
      <c r="I37" s="59"/>
      <c r="J37" s="59"/>
      <c r="K37" s="59"/>
      <c r="L37" s="62" t="e">
        <f>SUM(#REF!)</f>
        <v>#REF!</v>
      </c>
      <c r="M37" s="59" t="e">
        <f>SUM(#REF!)</f>
        <v>#REF!</v>
      </c>
      <c r="N37" s="59" t="e">
        <f>SUM(#REF!)</f>
        <v>#REF!</v>
      </c>
      <c r="O37" s="59"/>
      <c r="P37" s="62" t="e">
        <f>SUM(#REF!)</f>
        <v>#REF!</v>
      </c>
      <c r="Q37" s="59" t="e">
        <f>SUM(#REF!)</f>
        <v>#REF!</v>
      </c>
      <c r="R37" s="32" t="e">
        <f>SUM(#REF!)</f>
        <v>#REF!</v>
      </c>
      <c r="S37" s="59"/>
      <c r="T37" s="32">
        <f>SUM(T28:T30)</f>
        <v>0</v>
      </c>
      <c r="U37" s="62"/>
      <c r="V37" s="32">
        <f>SUM(V28:V34)</f>
        <v>203757.11556999999</v>
      </c>
      <c r="W37" s="32"/>
      <c r="X37" s="32">
        <f>SUM(X28:X34)</f>
        <v>203757.11556999999</v>
      </c>
      <c r="Y37" s="32"/>
      <c r="Z37" s="62">
        <f>SUM(Z28:Z36)</f>
        <v>24.05</v>
      </c>
      <c r="AA37" s="62"/>
      <c r="AB37" s="32">
        <f t="shared" ref="AB37:AD37" si="1">SUM(AB28:AB36)</f>
        <v>756064.64447000006</v>
      </c>
      <c r="AC37" s="32">
        <f t="shared" si="1"/>
        <v>462965.26267000003</v>
      </c>
      <c r="AD37" s="32">
        <f t="shared" si="1"/>
        <v>293099.38180000003</v>
      </c>
      <c r="AE37" s="26"/>
      <c r="AF37" s="31">
        <f>SUM(AF31:AF36)</f>
        <v>7.379999999999999</v>
      </c>
      <c r="AG37" s="32"/>
      <c r="AH37" s="57">
        <f>SUM(AH31:AH36)</f>
        <v>460869.96257999999</v>
      </c>
      <c r="AI37" s="57">
        <f t="shared" ref="AI37:AJ37" si="2">SUM(AI31:AI36)</f>
        <v>405565.56707039999</v>
      </c>
      <c r="AJ37" s="57">
        <f t="shared" si="2"/>
        <v>55304.395509599999</v>
      </c>
      <c r="AK37" s="12"/>
      <c r="AL37" s="12"/>
    </row>
    <row r="38" spans="1:38" s="44" customFormat="1" ht="29.25" customHeight="1">
      <c r="A38" s="61"/>
      <c r="B38" s="53" t="s">
        <v>52</v>
      </c>
      <c r="C38" s="30"/>
      <c r="D38" s="30"/>
      <c r="E38" s="62">
        <f>T38+Z38</f>
        <v>30.874099999999999</v>
      </c>
      <c r="F38" s="62"/>
      <c r="G38" s="32">
        <f>V38+AB38</f>
        <v>472054.2</v>
      </c>
      <c r="H38" s="62"/>
      <c r="I38" s="59"/>
      <c r="J38" s="59"/>
      <c r="K38" s="59"/>
      <c r="L38" s="62"/>
      <c r="M38" s="59"/>
      <c r="N38" s="59"/>
      <c r="O38" s="59"/>
      <c r="P38" s="62"/>
      <c r="Q38" s="59"/>
      <c r="R38" s="32"/>
      <c r="S38" s="59"/>
      <c r="T38" s="62">
        <v>21.892099999999999</v>
      </c>
      <c r="U38" s="62"/>
      <c r="V38" s="32">
        <f>329407+74511</f>
        <v>403918</v>
      </c>
      <c r="W38" s="32"/>
      <c r="X38" s="32">
        <f>V38</f>
        <v>403918</v>
      </c>
      <c r="Y38" s="32"/>
      <c r="Z38" s="32">
        <v>8.9819999999999993</v>
      </c>
      <c r="AA38" s="63"/>
      <c r="AB38" s="32">
        <v>68136.2</v>
      </c>
      <c r="AC38" s="32"/>
      <c r="AD38" s="32">
        <f>AB38</f>
        <v>68136.2</v>
      </c>
      <c r="AE38" s="26"/>
      <c r="AF38" s="26"/>
      <c r="AG38" s="26"/>
      <c r="AH38" s="47"/>
      <c r="AI38" s="26"/>
      <c r="AJ38" s="27"/>
      <c r="AK38" s="12"/>
      <c r="AL38" s="12"/>
    </row>
    <row r="39" spans="1:38" s="44" customFormat="1" ht="25.5" customHeight="1">
      <c r="A39" s="151" t="s">
        <v>53</v>
      </c>
      <c r="B39" s="151"/>
      <c r="C39" s="30"/>
      <c r="D39" s="30"/>
      <c r="E39" s="63">
        <f>E37+E38</f>
        <v>62.304099999999998</v>
      </c>
      <c r="F39" s="63"/>
      <c r="G39" s="26">
        <f>G37+G38</f>
        <v>1892745.9226200001</v>
      </c>
      <c r="H39" s="63"/>
      <c r="I39" s="45"/>
      <c r="J39" s="45"/>
      <c r="K39" s="45"/>
      <c r="L39" s="63"/>
      <c r="M39" s="45"/>
      <c r="N39" s="45"/>
      <c r="O39" s="45"/>
      <c r="P39" s="63"/>
      <c r="Q39" s="45"/>
      <c r="R39" s="26"/>
      <c r="S39" s="45"/>
      <c r="T39" s="63">
        <f>T37+T38</f>
        <v>21.892099999999999</v>
      </c>
      <c r="U39" s="63"/>
      <c r="V39" s="26">
        <f>V37+V38</f>
        <v>607675.11557000002</v>
      </c>
      <c r="W39" s="26">
        <f>W37+W38</f>
        <v>0</v>
      </c>
      <c r="X39" s="26">
        <f>X37+X38</f>
        <v>607675.11557000002</v>
      </c>
      <c r="Y39" s="26"/>
      <c r="Z39" s="63">
        <f>Z37+Z38</f>
        <v>33.031999999999996</v>
      </c>
      <c r="AA39" s="63"/>
      <c r="AB39" s="26">
        <f>AB37+AB38</f>
        <v>824200.84447000001</v>
      </c>
      <c r="AC39" s="26">
        <f>AC37+AC38</f>
        <v>462965.26267000003</v>
      </c>
      <c r="AD39" s="26">
        <f>AD37+AD38</f>
        <v>361235.58180000004</v>
      </c>
      <c r="AE39" s="26"/>
      <c r="AF39" s="63">
        <f>AF37+AF38</f>
        <v>7.379999999999999</v>
      </c>
      <c r="AG39" s="63"/>
      <c r="AH39" s="26">
        <f>AH37+AH38</f>
        <v>460869.96257999999</v>
      </c>
      <c r="AI39" s="26">
        <f>AI37+AI38</f>
        <v>405565.56707039999</v>
      </c>
      <c r="AJ39" s="27">
        <f>AJ37+AJ38</f>
        <v>55304.395509599999</v>
      </c>
      <c r="AK39" s="51">
        <f>AH39+AB39+V39</f>
        <v>1892745.9226199999</v>
      </c>
      <c r="AL39" s="12"/>
    </row>
    <row r="40" spans="1:38" s="44" customFormat="1" ht="27.75" customHeight="1">
      <c r="A40" s="144" t="s">
        <v>54</v>
      </c>
      <c r="B40" s="144"/>
      <c r="C40" s="150"/>
      <c r="D40" s="150"/>
      <c r="E40" s="150"/>
      <c r="F40" s="56"/>
      <c r="G40" s="26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2"/>
      <c r="V40" s="32"/>
      <c r="W40" s="32"/>
      <c r="X40" s="32"/>
      <c r="Y40" s="32"/>
      <c r="Z40" s="32"/>
      <c r="AA40" s="30"/>
      <c r="AB40" s="32"/>
      <c r="AC40" s="32"/>
      <c r="AD40" s="32"/>
      <c r="AE40" s="32"/>
      <c r="AF40" s="32"/>
      <c r="AG40" s="32"/>
      <c r="AH40" s="57"/>
      <c r="AI40" s="32"/>
      <c r="AJ40" s="54"/>
      <c r="AK40" s="12"/>
      <c r="AL40" s="12"/>
    </row>
    <row r="41" spans="1:38" s="44" customFormat="1" ht="40.35" customHeight="1">
      <c r="A41" s="29">
        <v>11</v>
      </c>
      <c r="B41" s="53" t="s">
        <v>55</v>
      </c>
      <c r="C41" s="30" t="s">
        <v>46</v>
      </c>
      <c r="D41" s="30"/>
      <c r="E41" s="60">
        <f>42.63-37</f>
        <v>5.6300000000000026</v>
      </c>
      <c r="F41" s="60"/>
      <c r="G41" s="32">
        <v>141076.03742000001</v>
      </c>
      <c r="H41" s="58"/>
      <c r="I41" s="59"/>
      <c r="J41" s="59"/>
      <c r="K41" s="59"/>
      <c r="L41" s="64"/>
      <c r="M41" s="65"/>
      <c r="N41" s="59"/>
      <c r="O41" s="59"/>
      <c r="P41" s="31"/>
      <c r="Q41" s="59"/>
      <c r="R41" s="59"/>
      <c r="S41" s="59"/>
      <c r="T41" s="31">
        <f>E41</f>
        <v>5.6300000000000026</v>
      </c>
      <c r="U41" s="32"/>
      <c r="V41" s="32">
        <f>G41</f>
        <v>141076.03742000001</v>
      </c>
      <c r="W41" s="32"/>
      <c r="X41" s="32">
        <f>V41</f>
        <v>141076.03742000001</v>
      </c>
      <c r="Y41" s="32"/>
      <c r="Z41" s="32"/>
      <c r="AA41" s="31"/>
      <c r="AB41" s="32"/>
      <c r="AC41" s="32"/>
      <c r="AD41" s="32"/>
      <c r="AE41" s="32"/>
      <c r="AF41" s="32"/>
      <c r="AG41" s="32"/>
      <c r="AH41" s="57"/>
      <c r="AI41" s="32"/>
      <c r="AJ41" s="54"/>
      <c r="AK41" s="12"/>
      <c r="AL41" s="12"/>
    </row>
    <row r="42" spans="1:38" s="44" customFormat="1" ht="66" customHeight="1">
      <c r="A42" s="29">
        <v>12</v>
      </c>
      <c r="B42" s="53" t="s">
        <v>56</v>
      </c>
      <c r="C42" s="30" t="s">
        <v>29</v>
      </c>
      <c r="D42" s="30"/>
      <c r="E42" s="60">
        <f>4-0.015</f>
        <v>3.9849999999999999</v>
      </c>
      <c r="F42" s="60"/>
      <c r="G42" s="32">
        <v>103944.8</v>
      </c>
      <c r="H42" s="58"/>
      <c r="I42" s="59"/>
      <c r="J42" s="59"/>
      <c r="K42" s="59"/>
      <c r="L42" s="64"/>
      <c r="M42" s="65"/>
      <c r="N42" s="59"/>
      <c r="O42" s="59"/>
      <c r="P42" s="31"/>
      <c r="Q42" s="59"/>
      <c r="R42" s="59"/>
      <c r="S42" s="59"/>
      <c r="T42" s="31"/>
      <c r="U42" s="32"/>
      <c r="V42" s="32"/>
      <c r="W42" s="32"/>
      <c r="X42" s="32"/>
      <c r="Y42" s="32"/>
      <c r="Z42" s="31">
        <f>E42</f>
        <v>3.9849999999999999</v>
      </c>
      <c r="AA42" s="31"/>
      <c r="AB42" s="32">
        <f>G42</f>
        <v>103944.8</v>
      </c>
      <c r="AC42" s="32">
        <v>97708.110499999995</v>
      </c>
      <c r="AD42" s="32">
        <f>AB42-AC42</f>
        <v>6236.6895000000077</v>
      </c>
      <c r="AE42" s="32"/>
      <c r="AF42" s="32"/>
      <c r="AG42" s="32"/>
      <c r="AH42" s="57"/>
      <c r="AI42" s="32"/>
      <c r="AJ42" s="54"/>
      <c r="AK42" s="12"/>
      <c r="AL42" s="12"/>
    </row>
    <row r="43" spans="1:38" s="44" customFormat="1" ht="65.25" customHeight="1">
      <c r="A43" s="29">
        <v>13</v>
      </c>
      <c r="B43" s="53" t="s">
        <v>198</v>
      </c>
      <c r="C43" s="30" t="s">
        <v>32</v>
      </c>
      <c r="D43" s="30"/>
      <c r="E43" s="60">
        <v>1.7</v>
      </c>
      <c r="F43" s="60"/>
      <c r="G43" s="32">
        <f>E43*30000</f>
        <v>51000</v>
      </c>
      <c r="H43" s="58"/>
      <c r="I43" s="59"/>
      <c r="J43" s="59"/>
      <c r="K43" s="59"/>
      <c r="L43" s="64"/>
      <c r="M43" s="65"/>
      <c r="N43" s="59"/>
      <c r="O43" s="59"/>
      <c r="P43" s="31"/>
      <c r="Q43" s="59"/>
      <c r="R43" s="59"/>
      <c r="S43" s="59"/>
      <c r="T43" s="31"/>
      <c r="U43" s="32" t="s">
        <v>45</v>
      </c>
      <c r="V43" s="32" t="s">
        <v>45</v>
      </c>
      <c r="W43" s="32"/>
      <c r="X43" s="32"/>
      <c r="Y43" s="32"/>
      <c r="Z43" s="31"/>
      <c r="AA43" s="31"/>
      <c r="AB43" s="32"/>
      <c r="AC43" s="32"/>
      <c r="AD43" s="32"/>
      <c r="AE43" s="32"/>
      <c r="AF43" s="31">
        <f>E43</f>
        <v>1.7</v>
      </c>
      <c r="AG43" s="32"/>
      <c r="AH43" s="57">
        <f>G43</f>
        <v>51000</v>
      </c>
      <c r="AI43" s="32">
        <f>AH43*0.88</f>
        <v>44880</v>
      </c>
      <c r="AJ43" s="54">
        <f>AH43-AI43</f>
        <v>6120</v>
      </c>
      <c r="AK43" s="12"/>
      <c r="AL43" s="12"/>
    </row>
    <row r="44" spans="1:38" s="44" customFormat="1" ht="29.25" customHeight="1">
      <c r="A44" s="66"/>
      <c r="B44" s="53" t="s">
        <v>51</v>
      </c>
      <c r="C44" s="30"/>
      <c r="D44" s="30"/>
      <c r="E44" s="67">
        <f>SUM(E41:E43)</f>
        <v>11.315000000000001</v>
      </c>
      <c r="F44" s="32"/>
      <c r="G44" s="32">
        <f>SUM(G41:G43)</f>
        <v>296020.83742</v>
      </c>
      <c r="H44" s="58"/>
      <c r="I44" s="59"/>
      <c r="J44" s="59"/>
      <c r="K44" s="59"/>
      <c r="L44" s="64"/>
      <c r="M44" s="65"/>
      <c r="N44" s="59"/>
      <c r="O44" s="59"/>
      <c r="P44" s="31"/>
      <c r="Q44" s="59"/>
      <c r="R44" s="59"/>
      <c r="S44" s="59"/>
      <c r="T44" s="67">
        <f>SUM(T41:T41)</f>
        <v>5.6300000000000026</v>
      </c>
      <c r="U44" s="60"/>
      <c r="V44" s="32">
        <f>SUM(V41:V41)</f>
        <v>141076.03742000001</v>
      </c>
      <c r="W44" s="32">
        <f>SUM(W41:W41)</f>
        <v>0</v>
      </c>
      <c r="X44" s="32">
        <f>SUM(X41:X41)</f>
        <v>141076.03742000001</v>
      </c>
      <c r="Y44" s="32"/>
      <c r="Z44" s="32">
        <f>SUM(Z42)</f>
        <v>3.9849999999999999</v>
      </c>
      <c r="AA44" s="31"/>
      <c r="AB44" s="32">
        <f>AB42</f>
        <v>103944.8</v>
      </c>
      <c r="AC44" s="32">
        <f>AC42</f>
        <v>97708.110499999995</v>
      </c>
      <c r="AD44" s="32">
        <f>AD42</f>
        <v>6236.6895000000077</v>
      </c>
      <c r="AE44" s="32"/>
      <c r="AF44" s="32">
        <f>SUM(AF43)</f>
        <v>1.7</v>
      </c>
      <c r="AG44" s="32"/>
      <c r="AH44" s="57">
        <f>SUM(AH43)</f>
        <v>51000</v>
      </c>
      <c r="AI44" s="32">
        <f>SUM(AI43)</f>
        <v>44880</v>
      </c>
      <c r="AJ44" s="54">
        <f>SUM(AJ43)</f>
        <v>6120</v>
      </c>
      <c r="AK44" s="12"/>
      <c r="AL44" s="12"/>
    </row>
    <row r="45" spans="1:38" s="44" customFormat="1" ht="26.25" customHeight="1">
      <c r="A45" s="66"/>
      <c r="B45" s="53" t="s">
        <v>52</v>
      </c>
      <c r="C45" s="30"/>
      <c r="D45" s="30"/>
      <c r="E45" s="67">
        <f>T45+Z45</f>
        <v>15.535</v>
      </c>
      <c r="F45" s="60"/>
      <c r="G45" s="32">
        <f>V45+AB45</f>
        <v>123647.5</v>
      </c>
      <c r="H45" s="58"/>
      <c r="I45" s="59"/>
      <c r="J45" s="59"/>
      <c r="K45" s="59"/>
      <c r="L45" s="64"/>
      <c r="M45" s="65"/>
      <c r="N45" s="59"/>
      <c r="O45" s="59"/>
      <c r="P45" s="31"/>
      <c r="Q45" s="59"/>
      <c r="R45" s="59"/>
      <c r="S45" s="59"/>
      <c r="T45" s="67">
        <v>10.148</v>
      </c>
      <c r="U45" s="60"/>
      <c r="V45" s="32">
        <v>76863</v>
      </c>
      <c r="W45" s="32"/>
      <c r="X45" s="32">
        <f>V45</f>
        <v>76863</v>
      </c>
      <c r="Y45" s="32"/>
      <c r="Z45" s="68">
        <v>5.3869999999999996</v>
      </c>
      <c r="AA45" s="31"/>
      <c r="AB45" s="32">
        <v>46784.5</v>
      </c>
      <c r="AC45" s="31"/>
      <c r="AD45" s="32">
        <f>AB45</f>
        <v>46784.5</v>
      </c>
      <c r="AE45" s="32"/>
      <c r="AF45" s="32"/>
      <c r="AG45" s="32"/>
      <c r="AH45" s="57"/>
      <c r="AI45" s="32"/>
      <c r="AJ45" s="54"/>
      <c r="AK45" s="12"/>
      <c r="AL45" s="12"/>
    </row>
    <row r="46" spans="1:38" s="44" customFormat="1" ht="29.25" customHeight="1">
      <c r="A46" s="151" t="s">
        <v>57</v>
      </c>
      <c r="B46" s="151"/>
      <c r="C46" s="30"/>
      <c r="D46" s="30"/>
      <c r="E46" s="63">
        <f>SUM(E44:E45)</f>
        <v>26.85</v>
      </c>
      <c r="F46" s="63"/>
      <c r="G46" s="26">
        <f>SUM(G44:G45)</f>
        <v>419668.33742</v>
      </c>
      <c r="H46" s="63" t="e">
        <f>SUM(#REF!)</f>
        <v>#REF!</v>
      </c>
      <c r="I46" s="45" t="e">
        <f>SUM(#REF!)</f>
        <v>#REF!</v>
      </c>
      <c r="J46" s="45" t="e">
        <f>SUM(#REF!)</f>
        <v>#REF!</v>
      </c>
      <c r="K46" s="45"/>
      <c r="L46" s="63" t="e">
        <f>SUM(#REF!)</f>
        <v>#REF!</v>
      </c>
      <c r="M46" s="45" t="e">
        <f>SUM(#REF!)</f>
        <v>#REF!</v>
      </c>
      <c r="N46" s="45" t="e">
        <f>SUM(#REF!)</f>
        <v>#REF!</v>
      </c>
      <c r="O46" s="45" t="e">
        <f>SUM(#REF!)</f>
        <v>#REF!</v>
      </c>
      <c r="P46" s="69" t="e">
        <f>SUM(#REF!)</f>
        <v>#REF!</v>
      </c>
      <c r="Q46" s="45" t="e">
        <f>SUM(#REF!)</f>
        <v>#REF!</v>
      </c>
      <c r="R46" s="45" t="e">
        <f>SUM(#REF!)</f>
        <v>#REF!</v>
      </c>
      <c r="S46" s="45"/>
      <c r="T46" s="63">
        <f>SUM(T44:T45)</f>
        <v>15.778000000000002</v>
      </c>
      <c r="U46" s="63"/>
      <c r="V46" s="26">
        <f>SUM(V44:V45)</f>
        <v>217939.03742000001</v>
      </c>
      <c r="W46" s="26">
        <f>SUM(W44:W45)</f>
        <v>0</v>
      </c>
      <c r="X46" s="26">
        <f>SUM(X44:X45)</f>
        <v>217939.03742000001</v>
      </c>
      <c r="Y46" s="26"/>
      <c r="Z46" s="26">
        <f>SUM(Z44:Z45)</f>
        <v>9.3719999999999999</v>
      </c>
      <c r="AA46" s="63"/>
      <c r="AB46" s="26">
        <f>SUM(AB44:AB45)</f>
        <v>150729.29999999999</v>
      </c>
      <c r="AC46" s="26">
        <f>SUM(AC44:AC45)</f>
        <v>97708.110499999995</v>
      </c>
      <c r="AD46" s="26">
        <f>SUM(AD44:AD45)</f>
        <v>53021.189500000008</v>
      </c>
      <c r="AE46" s="26"/>
      <c r="AF46" s="26">
        <f>SUM(AF44:AF45)</f>
        <v>1.7</v>
      </c>
      <c r="AG46" s="63"/>
      <c r="AH46" s="26">
        <f>SUM(AH44:AH45)</f>
        <v>51000</v>
      </c>
      <c r="AI46" s="26">
        <f>SUM(AI44:AI45)</f>
        <v>44880</v>
      </c>
      <c r="AJ46" s="27">
        <f>SUM(AJ44:AJ45)</f>
        <v>6120</v>
      </c>
      <c r="AK46" s="12"/>
      <c r="AL46" s="12"/>
    </row>
    <row r="47" spans="1:38" s="44" customFormat="1" ht="37.5" customHeight="1">
      <c r="A47" s="144" t="s">
        <v>58</v>
      </c>
      <c r="B47" s="144"/>
      <c r="C47" s="150"/>
      <c r="D47" s="150"/>
      <c r="E47" s="150"/>
      <c r="F47" s="56"/>
      <c r="G47" s="26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2"/>
      <c r="V47" s="32"/>
      <c r="W47" s="32"/>
      <c r="X47" s="32"/>
      <c r="Y47" s="32"/>
      <c r="Z47" s="32"/>
      <c r="AA47" s="30"/>
      <c r="AB47" s="32"/>
      <c r="AC47" s="32"/>
      <c r="AD47" s="32"/>
      <c r="AE47" s="32"/>
      <c r="AF47" s="32"/>
      <c r="AG47" s="32"/>
      <c r="AH47" s="57"/>
      <c r="AI47" s="32"/>
      <c r="AJ47" s="54"/>
      <c r="AK47" s="12"/>
      <c r="AL47" s="12"/>
    </row>
    <row r="48" spans="1:38" s="44" customFormat="1" ht="43.5" hidden="1" customHeight="1">
      <c r="A48" s="66"/>
      <c r="B48" s="53" t="s">
        <v>59</v>
      </c>
      <c r="C48" s="30" t="s">
        <v>32</v>
      </c>
      <c r="D48" s="30"/>
      <c r="E48" s="60"/>
      <c r="F48" s="60"/>
      <c r="G48" s="32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2"/>
      <c r="V48" s="32"/>
      <c r="W48" s="32"/>
      <c r="X48" s="32"/>
      <c r="Y48" s="32"/>
      <c r="Z48" s="32"/>
      <c r="AA48" s="36"/>
      <c r="AB48" s="70"/>
      <c r="AC48" s="70"/>
      <c r="AD48" s="70"/>
      <c r="AE48" s="70"/>
      <c r="AF48" s="70"/>
      <c r="AG48" s="32"/>
      <c r="AH48" s="57"/>
      <c r="AI48" s="32"/>
      <c r="AJ48" s="54"/>
      <c r="AK48" s="12"/>
      <c r="AL48" s="12"/>
    </row>
    <row r="49" spans="1:38" s="44" customFormat="1" ht="45" hidden="1" customHeight="1">
      <c r="A49" s="66">
        <v>10</v>
      </c>
      <c r="B49" s="53" t="s">
        <v>60</v>
      </c>
      <c r="C49" s="30" t="s">
        <v>29</v>
      </c>
      <c r="D49" s="30"/>
      <c r="E49" s="31"/>
      <c r="F49" s="31"/>
      <c r="G49" s="32"/>
      <c r="H49" s="58"/>
      <c r="I49" s="59"/>
      <c r="J49" s="59"/>
      <c r="K49" s="59"/>
      <c r="L49" s="31"/>
      <c r="M49" s="59"/>
      <c r="N49" s="59"/>
      <c r="O49" s="59"/>
      <c r="P49" s="31"/>
      <c r="Q49" s="59"/>
      <c r="R49" s="59"/>
      <c r="S49" s="59"/>
      <c r="T49" s="31"/>
      <c r="U49" s="32"/>
      <c r="V49" s="32"/>
      <c r="W49" s="32"/>
      <c r="X49" s="32"/>
      <c r="Y49" s="32"/>
      <c r="Z49" s="32"/>
      <c r="AA49" s="31"/>
      <c r="AB49" s="32"/>
      <c r="AC49" s="32"/>
      <c r="AD49" s="32"/>
      <c r="AE49" s="32"/>
      <c r="AF49" s="32"/>
      <c r="AG49" s="32"/>
      <c r="AH49" s="57"/>
      <c r="AI49" s="32"/>
      <c r="AJ49" s="54"/>
      <c r="AK49" s="12"/>
      <c r="AL49" s="12"/>
    </row>
    <row r="50" spans="1:38" s="44" customFormat="1" ht="45" customHeight="1">
      <c r="A50" s="29">
        <v>14</v>
      </c>
      <c r="B50" s="53" t="s">
        <v>61</v>
      </c>
      <c r="C50" s="30" t="s">
        <v>29</v>
      </c>
      <c r="D50" s="30"/>
      <c r="E50" s="60">
        <f>0.9-0.032</f>
        <v>0.86799999999999999</v>
      </c>
      <c r="F50" s="31"/>
      <c r="G50" s="32">
        <v>22654.123029999999</v>
      </c>
      <c r="H50" s="58"/>
      <c r="I50" s="59"/>
      <c r="J50" s="59"/>
      <c r="K50" s="59"/>
      <c r="L50" s="31"/>
      <c r="M50" s="59"/>
      <c r="N50" s="59"/>
      <c r="O50" s="59"/>
      <c r="P50" s="31"/>
      <c r="Q50" s="59"/>
      <c r="R50" s="59"/>
      <c r="S50" s="59"/>
      <c r="T50" s="31"/>
      <c r="U50" s="32"/>
      <c r="V50" s="32"/>
      <c r="W50" s="32"/>
      <c r="X50" s="32"/>
      <c r="Y50" s="32"/>
      <c r="Z50" s="60">
        <f>E50</f>
        <v>0.86799999999999999</v>
      </c>
      <c r="AA50" s="31"/>
      <c r="AB50" s="32">
        <f>G50</f>
        <v>22654.123029999999</v>
      </c>
      <c r="AC50" s="32">
        <v>21294.875319999999</v>
      </c>
      <c r="AD50" s="32">
        <f>AB50-AC50</f>
        <v>1359.2477099999996</v>
      </c>
      <c r="AE50" s="32"/>
      <c r="AF50" s="32"/>
      <c r="AG50" s="32" t="s">
        <v>62</v>
      </c>
      <c r="AH50" s="57" t="s">
        <v>48</v>
      </c>
      <c r="AI50" s="32"/>
      <c r="AJ50" s="54"/>
      <c r="AK50" s="12"/>
      <c r="AL50" s="12"/>
    </row>
    <row r="51" spans="1:38" s="44" customFormat="1" ht="66" customHeight="1">
      <c r="A51" s="29">
        <v>15</v>
      </c>
      <c r="B51" s="53" t="s">
        <v>63</v>
      </c>
      <c r="C51" s="30" t="s">
        <v>29</v>
      </c>
      <c r="D51" s="30"/>
      <c r="E51" s="60">
        <v>4.7640000000000002</v>
      </c>
      <c r="F51" s="31"/>
      <c r="G51" s="32">
        <v>139832.94664000001</v>
      </c>
      <c r="H51" s="58"/>
      <c r="I51" s="59"/>
      <c r="J51" s="59"/>
      <c r="K51" s="59"/>
      <c r="L51" s="31"/>
      <c r="M51" s="59"/>
      <c r="N51" s="59"/>
      <c r="O51" s="59"/>
      <c r="P51" s="31"/>
      <c r="Q51" s="59"/>
      <c r="R51" s="59"/>
      <c r="S51" s="59"/>
      <c r="T51" s="31"/>
      <c r="U51" s="32"/>
      <c r="V51" s="32"/>
      <c r="W51" s="32"/>
      <c r="X51" s="32"/>
      <c r="Y51" s="32"/>
      <c r="Z51" s="60">
        <f>E51</f>
        <v>4.7640000000000002</v>
      </c>
      <c r="AA51" s="31"/>
      <c r="AB51" s="32">
        <f>G51</f>
        <v>139832.94664000001</v>
      </c>
      <c r="AC51" s="32">
        <v>131442.96781999999</v>
      </c>
      <c r="AD51" s="32">
        <f>AB51-AC51</f>
        <v>8389.9788200000185</v>
      </c>
      <c r="AE51" s="32"/>
      <c r="AF51" s="32"/>
      <c r="AG51" s="32"/>
      <c r="AH51" s="57"/>
      <c r="AI51" s="32"/>
      <c r="AJ51" s="54"/>
      <c r="AK51" s="12" t="s">
        <v>64</v>
      </c>
      <c r="AL51" s="12"/>
    </row>
    <row r="52" spans="1:38" s="44" customFormat="1" ht="45" customHeight="1">
      <c r="A52" s="29">
        <v>16</v>
      </c>
      <c r="B52" s="134" t="s">
        <v>65</v>
      </c>
      <c r="C52" s="30" t="s">
        <v>32</v>
      </c>
      <c r="D52" s="30"/>
      <c r="E52" s="60">
        <v>1.6</v>
      </c>
      <c r="F52" s="31"/>
      <c r="G52" s="32">
        <f>E52*30000-8000</f>
        <v>40000</v>
      </c>
      <c r="H52" s="58"/>
      <c r="I52" s="59"/>
      <c r="J52" s="59"/>
      <c r="K52" s="59"/>
      <c r="L52" s="31"/>
      <c r="M52" s="59"/>
      <c r="N52" s="59"/>
      <c r="O52" s="59"/>
      <c r="P52" s="31"/>
      <c r="Q52" s="59"/>
      <c r="R52" s="59"/>
      <c r="S52" s="59"/>
      <c r="T52" s="31"/>
      <c r="U52" s="32"/>
      <c r="V52" s="32"/>
      <c r="W52" s="32"/>
      <c r="X52" s="32"/>
      <c r="Y52" s="32"/>
      <c r="Z52" s="60"/>
      <c r="AA52" s="31"/>
      <c r="AB52" s="32"/>
      <c r="AC52" s="32"/>
      <c r="AD52" s="32"/>
      <c r="AE52" s="32"/>
      <c r="AF52" s="31">
        <f>E52</f>
        <v>1.6</v>
      </c>
      <c r="AG52" s="32"/>
      <c r="AH52" s="57">
        <f>G52</f>
        <v>40000</v>
      </c>
      <c r="AI52" s="32">
        <f>AH52*0.88</f>
        <v>35200</v>
      </c>
      <c r="AJ52" s="54">
        <f>AH52-AI52</f>
        <v>4800</v>
      </c>
      <c r="AK52" s="12"/>
      <c r="AL52" s="12"/>
    </row>
    <row r="53" spans="1:38" s="44" customFormat="1" ht="42.75" customHeight="1">
      <c r="A53" s="29">
        <v>17</v>
      </c>
      <c r="B53" s="134" t="s">
        <v>192</v>
      </c>
      <c r="C53" s="30" t="s">
        <v>29</v>
      </c>
      <c r="D53" s="30"/>
      <c r="E53" s="60">
        <f>8.187-4.1</f>
        <v>4.0869999999999997</v>
      </c>
      <c r="F53" s="31"/>
      <c r="G53" s="32">
        <f>117000+6890+8000+26000+25000</f>
        <v>182890</v>
      </c>
      <c r="H53" s="58"/>
      <c r="I53" s="59"/>
      <c r="J53" s="59"/>
      <c r="K53" s="59"/>
      <c r="L53" s="31"/>
      <c r="M53" s="59"/>
      <c r="N53" s="59"/>
      <c r="O53" s="59"/>
      <c r="P53" s="31"/>
      <c r="Q53" s="59"/>
      <c r="R53" s="59"/>
      <c r="S53" s="59"/>
      <c r="T53" s="31"/>
      <c r="U53" s="32"/>
      <c r="V53" s="32"/>
      <c r="W53" s="32"/>
      <c r="X53" s="32" t="s">
        <v>48</v>
      </c>
      <c r="Y53" s="32"/>
      <c r="Z53" s="60"/>
      <c r="AA53" s="31"/>
      <c r="AB53" s="32"/>
      <c r="AC53" s="32"/>
      <c r="AD53" s="32"/>
      <c r="AE53" s="32"/>
      <c r="AF53" s="31">
        <f>E53</f>
        <v>4.0869999999999997</v>
      </c>
      <c r="AG53" s="32"/>
      <c r="AH53" s="57">
        <f>G53</f>
        <v>182890</v>
      </c>
      <c r="AI53" s="32">
        <f>AH53*0.88</f>
        <v>160943.20000000001</v>
      </c>
      <c r="AJ53" s="54">
        <f>AH53-AI53</f>
        <v>21946.799999999988</v>
      </c>
      <c r="AK53" s="12"/>
      <c r="AL53" s="12"/>
    </row>
    <row r="54" spans="1:38" s="44" customFormat="1" ht="39" customHeight="1">
      <c r="A54" s="151" t="s">
        <v>66</v>
      </c>
      <c r="B54" s="151"/>
      <c r="C54" s="151"/>
      <c r="D54" s="30"/>
      <c r="E54" s="63">
        <f>SUM(E50:E53)</f>
        <v>11.319000000000001</v>
      </c>
      <c r="F54" s="32"/>
      <c r="G54" s="26">
        <f>SUM(G50:G53)</f>
        <v>385377.06967</v>
      </c>
      <c r="H54" s="63" t="e">
        <f>SUM(#REF!)</f>
        <v>#REF!</v>
      </c>
      <c r="I54" s="45" t="e">
        <f>SUM(#REF!)</f>
        <v>#REF!</v>
      </c>
      <c r="J54" s="45" t="e">
        <f>SUM(#REF!)</f>
        <v>#REF!</v>
      </c>
      <c r="K54" s="45"/>
      <c r="L54" s="63" t="e">
        <f>SUM(#REF!)</f>
        <v>#REF!</v>
      </c>
      <c r="M54" s="45"/>
      <c r="N54" s="45"/>
      <c r="O54" s="45"/>
      <c r="P54" s="63">
        <f>SUM(P49:P49)</f>
        <v>0</v>
      </c>
      <c r="Q54" s="45">
        <f>SUM(Q49:Q49)</f>
        <v>0</v>
      </c>
      <c r="R54" s="45">
        <f>SUM(R49:R49)</f>
        <v>0</v>
      </c>
      <c r="S54" s="45"/>
      <c r="T54" s="63"/>
      <c r="U54" s="63"/>
      <c r="V54" s="26"/>
      <c r="W54" s="26"/>
      <c r="X54" s="26"/>
      <c r="Y54" s="26"/>
      <c r="Z54" s="63">
        <f>SUM(Z50:Z51)</f>
        <v>5.6320000000000006</v>
      </c>
      <c r="AA54" s="63"/>
      <c r="AB54" s="26">
        <f>SUM(AB50:AB51)</f>
        <v>162487.06967</v>
      </c>
      <c r="AC54" s="26">
        <f>SUM(AC50:AC51)</f>
        <v>152737.84313999998</v>
      </c>
      <c r="AD54" s="26">
        <f>SUM(AD50:AD51)</f>
        <v>9749.2265300000181</v>
      </c>
      <c r="AE54" s="26"/>
      <c r="AF54" s="63">
        <f>SUM(AF52:AF53)</f>
        <v>5.6869999999999994</v>
      </c>
      <c r="AG54" s="63"/>
      <c r="AH54" s="26">
        <f>SUM(AH52:AH53)</f>
        <v>222890</v>
      </c>
      <c r="AI54" s="26">
        <f>SUM(AI52:AI53)</f>
        <v>196143.2</v>
      </c>
      <c r="AJ54" s="27">
        <f>SUM(AJ52:AJ53)</f>
        <v>26746.799999999988</v>
      </c>
      <c r="AK54" s="12"/>
      <c r="AL54" s="12"/>
    </row>
    <row r="55" spans="1:38" s="44" customFormat="1" ht="27" customHeight="1">
      <c r="A55" s="144" t="s">
        <v>67</v>
      </c>
      <c r="B55" s="144"/>
      <c r="C55" s="150"/>
      <c r="D55" s="150"/>
      <c r="E55" s="150"/>
      <c r="F55" s="56"/>
      <c r="G55" s="26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2"/>
      <c r="V55" s="32"/>
      <c r="W55" s="32"/>
      <c r="X55" s="32"/>
      <c r="Y55" s="32"/>
      <c r="Z55" s="32"/>
      <c r="AA55" s="30"/>
      <c r="AB55" s="32"/>
      <c r="AC55" s="32"/>
      <c r="AD55" s="32"/>
      <c r="AE55" s="32"/>
      <c r="AF55" s="32"/>
      <c r="AG55" s="32"/>
      <c r="AH55" s="57"/>
      <c r="AI55" s="32"/>
      <c r="AJ55" s="54"/>
      <c r="AK55" s="12"/>
      <c r="AL55" s="12"/>
    </row>
    <row r="56" spans="1:38" s="44" customFormat="1" ht="46.5" customHeight="1">
      <c r="A56" s="29">
        <v>18</v>
      </c>
      <c r="B56" s="71" t="s">
        <v>68</v>
      </c>
      <c r="C56" s="30" t="s">
        <v>69</v>
      </c>
      <c r="D56" s="30"/>
      <c r="E56" s="58">
        <v>3</v>
      </c>
      <c r="F56" s="58"/>
      <c r="G56" s="32">
        <v>77939.765920000005</v>
      </c>
      <c r="H56" s="58"/>
      <c r="I56" s="59"/>
      <c r="J56" s="59"/>
      <c r="K56" s="59"/>
      <c r="L56" s="64"/>
      <c r="M56" s="65"/>
      <c r="N56" s="59"/>
      <c r="O56" s="59"/>
      <c r="P56" s="31"/>
      <c r="Q56" s="59"/>
      <c r="R56" s="59"/>
      <c r="S56" s="59"/>
      <c r="T56" s="31"/>
      <c r="U56" s="32"/>
      <c r="V56" s="32"/>
      <c r="W56" s="32"/>
      <c r="X56" s="32"/>
      <c r="Y56" s="32"/>
      <c r="Z56" s="58">
        <v>3</v>
      </c>
      <c r="AA56" s="31"/>
      <c r="AB56" s="32">
        <f>G56</f>
        <v>77939.765920000005</v>
      </c>
      <c r="AC56" s="32">
        <v>73263.378840000005</v>
      </c>
      <c r="AD56" s="32">
        <f>AB56-AC56</f>
        <v>4676.3870800000004</v>
      </c>
      <c r="AE56" s="32"/>
      <c r="AF56" s="32"/>
      <c r="AG56" s="32"/>
      <c r="AH56" s="57"/>
      <c r="AI56" s="32"/>
      <c r="AJ56" s="54"/>
      <c r="AK56" s="12"/>
      <c r="AL56" s="12"/>
    </row>
    <row r="57" spans="1:38" s="44" customFormat="1" ht="46.5" customHeight="1">
      <c r="A57" s="29">
        <v>19</v>
      </c>
      <c r="B57" s="71" t="s">
        <v>70</v>
      </c>
      <c r="C57" s="30" t="s">
        <v>29</v>
      </c>
      <c r="D57" s="30"/>
      <c r="E57" s="58">
        <v>7</v>
      </c>
      <c r="F57" s="58"/>
      <c r="G57" s="32">
        <f>E57*30000</f>
        <v>210000</v>
      </c>
      <c r="H57" s="58"/>
      <c r="I57" s="59"/>
      <c r="J57" s="59"/>
      <c r="K57" s="59"/>
      <c r="L57" s="64"/>
      <c r="M57" s="65"/>
      <c r="N57" s="59"/>
      <c r="O57" s="59"/>
      <c r="P57" s="31"/>
      <c r="Q57" s="59"/>
      <c r="R57" s="59"/>
      <c r="S57" s="59"/>
      <c r="T57" s="31"/>
      <c r="U57" s="32"/>
      <c r="V57" s="32"/>
      <c r="W57" s="32"/>
      <c r="X57" s="32"/>
      <c r="Y57" s="32"/>
      <c r="Z57" s="58"/>
      <c r="AA57" s="31"/>
      <c r="AB57" s="32"/>
      <c r="AC57" s="131"/>
      <c r="AD57" s="32"/>
      <c r="AE57" s="32"/>
      <c r="AF57" s="31">
        <f>E57</f>
        <v>7</v>
      </c>
      <c r="AG57" s="32"/>
      <c r="AH57" s="57">
        <f>G57</f>
        <v>210000</v>
      </c>
      <c r="AI57" s="32">
        <f>AH57*0.88</f>
        <v>184800</v>
      </c>
      <c r="AJ57" s="54">
        <f>AH57-AI57</f>
        <v>25200</v>
      </c>
      <c r="AK57" s="12"/>
      <c r="AL57" s="12"/>
    </row>
    <row r="58" spans="1:38" s="44" customFormat="1" ht="30" customHeight="1">
      <c r="A58" s="151" t="s">
        <v>71</v>
      </c>
      <c r="B58" s="151"/>
      <c r="C58" s="30"/>
      <c r="D58" s="30"/>
      <c r="E58" s="63">
        <f>SUM(E56:E57)</f>
        <v>10</v>
      </c>
      <c r="F58" s="32"/>
      <c r="G58" s="26">
        <f>SUM(G56:G57)</f>
        <v>287939.76592000003</v>
      </c>
      <c r="H58" s="63" t="e">
        <f>SUM(#REF!)</f>
        <v>#REF!</v>
      </c>
      <c r="I58" s="45" t="e">
        <f>SUM(#REF!)</f>
        <v>#REF!</v>
      </c>
      <c r="J58" s="45" t="e">
        <f>SUM(#REF!)</f>
        <v>#REF!</v>
      </c>
      <c r="K58" s="45"/>
      <c r="L58" s="63" t="e">
        <f>SUM(#REF!)</f>
        <v>#REF!</v>
      </c>
      <c r="M58" s="45" t="e">
        <f>SUM(#REF!)</f>
        <v>#REF!</v>
      </c>
      <c r="N58" s="45" t="e">
        <f>SUM(#REF!)</f>
        <v>#REF!</v>
      </c>
      <c r="O58" s="45"/>
      <c r="P58" s="63" t="e">
        <f>SUM(#REF!)</f>
        <v>#REF!</v>
      </c>
      <c r="Q58" s="45" t="e">
        <f>SUM(#REF!)</f>
        <v>#REF!</v>
      </c>
      <c r="R58" s="45" t="e">
        <f>SUM(#REF!)</f>
        <v>#REF!</v>
      </c>
      <c r="S58" s="45"/>
      <c r="T58" s="63"/>
      <c r="U58" s="63"/>
      <c r="V58" s="26"/>
      <c r="W58" s="26"/>
      <c r="X58" s="26"/>
      <c r="Y58" s="26"/>
      <c r="Z58" s="63">
        <f>SUM(Z56:Z56)</f>
        <v>3</v>
      </c>
      <c r="AA58" s="63"/>
      <c r="AB58" s="26">
        <f>SUM(AB56:AB56)</f>
        <v>77939.765920000005</v>
      </c>
      <c r="AC58" s="26">
        <f>SUM(AC56:AC56)</f>
        <v>73263.378840000005</v>
      </c>
      <c r="AD58" s="26">
        <f>SUM(AD56:AD56)</f>
        <v>4676.3870800000004</v>
      </c>
      <c r="AE58" s="26"/>
      <c r="AF58" s="26">
        <f>SUM(AF57)</f>
        <v>7</v>
      </c>
      <c r="AG58" s="26"/>
      <c r="AH58" s="47">
        <f>SUM(AH57)</f>
        <v>210000</v>
      </c>
      <c r="AI58" s="26">
        <f>SUM(AI57)</f>
        <v>184800</v>
      </c>
      <c r="AJ58" s="27">
        <f>SUM(AJ57)</f>
        <v>25200</v>
      </c>
      <c r="AK58" s="12"/>
      <c r="AL58" s="12"/>
    </row>
    <row r="59" spans="1:38" s="44" customFormat="1" ht="30.75" customHeight="1">
      <c r="A59" s="144" t="s">
        <v>72</v>
      </c>
      <c r="B59" s="144"/>
      <c r="C59" s="150"/>
      <c r="D59" s="150"/>
      <c r="E59" s="150"/>
      <c r="F59" s="56"/>
      <c r="G59" s="26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2"/>
      <c r="V59" s="32"/>
      <c r="W59" s="32"/>
      <c r="X59" s="32"/>
      <c r="Y59" s="32"/>
      <c r="Z59" s="32"/>
      <c r="AA59" s="30"/>
      <c r="AB59" s="32"/>
      <c r="AC59" s="32"/>
      <c r="AD59" s="32"/>
      <c r="AE59" s="32"/>
      <c r="AF59" s="32"/>
      <c r="AG59" s="32"/>
      <c r="AH59" s="57"/>
      <c r="AI59" s="32"/>
      <c r="AJ59" s="54"/>
      <c r="AK59" s="12"/>
      <c r="AL59" s="12"/>
    </row>
    <row r="60" spans="1:38" s="44" customFormat="1" ht="49.5" hidden="1" customHeight="1">
      <c r="A60" s="66">
        <v>19</v>
      </c>
      <c r="B60" s="71" t="s">
        <v>73</v>
      </c>
      <c r="C60" s="30" t="s">
        <v>29</v>
      </c>
      <c r="D60" s="30"/>
      <c r="E60" s="36"/>
      <c r="F60" s="36"/>
      <c r="G60" s="32"/>
      <c r="H60" s="58"/>
      <c r="I60" s="59"/>
      <c r="J60" s="59"/>
      <c r="K60" s="59"/>
      <c r="L60" s="64"/>
      <c r="M60" s="65"/>
      <c r="N60" s="59"/>
      <c r="O60" s="59"/>
      <c r="P60" s="31"/>
      <c r="Q60" s="59"/>
      <c r="R60" s="59"/>
      <c r="S60" s="59"/>
      <c r="T60" s="36"/>
      <c r="U60" s="32"/>
      <c r="V60" s="32"/>
      <c r="W60" s="32"/>
      <c r="X60" s="32"/>
      <c r="Y60" s="32"/>
      <c r="Z60" s="32"/>
      <c r="AA60" s="31"/>
      <c r="AB60" s="32"/>
      <c r="AC60" s="32"/>
      <c r="AD60" s="32"/>
      <c r="AE60" s="32"/>
      <c r="AF60" s="32"/>
      <c r="AG60" s="32"/>
      <c r="AH60" s="57"/>
      <c r="AI60" s="32"/>
      <c r="AJ60" s="54"/>
      <c r="AK60" s="12"/>
      <c r="AL60" s="12"/>
    </row>
    <row r="61" spans="1:38" s="44" customFormat="1" ht="32.25" customHeight="1">
      <c r="A61" s="29">
        <v>20</v>
      </c>
      <c r="B61" s="71" t="s">
        <v>74</v>
      </c>
      <c r="C61" s="30" t="s">
        <v>29</v>
      </c>
      <c r="D61" s="30"/>
      <c r="E61" s="36">
        <v>3.6</v>
      </c>
      <c r="F61" s="36"/>
      <c r="G61" s="32">
        <v>89465.626940000002</v>
      </c>
      <c r="H61" s="58"/>
      <c r="I61" s="59"/>
      <c r="J61" s="59"/>
      <c r="K61" s="59"/>
      <c r="L61" s="64"/>
      <c r="M61" s="65"/>
      <c r="N61" s="59"/>
      <c r="O61" s="59"/>
      <c r="P61" s="31"/>
      <c r="Q61" s="59"/>
      <c r="R61" s="59"/>
      <c r="S61" s="59"/>
      <c r="T61" s="31">
        <f>E61</f>
        <v>3.6</v>
      </c>
      <c r="U61" s="70"/>
      <c r="V61" s="70">
        <f>G61</f>
        <v>89465.626940000002</v>
      </c>
      <c r="W61" s="70"/>
      <c r="X61" s="70">
        <f>V61</f>
        <v>89465.626940000002</v>
      </c>
      <c r="Y61" s="70"/>
      <c r="Z61" s="32"/>
      <c r="AA61" s="31"/>
      <c r="AB61" s="70"/>
      <c r="AC61" s="70"/>
      <c r="AD61" s="70"/>
      <c r="AE61" s="70"/>
      <c r="AF61" s="70"/>
      <c r="AG61" s="32"/>
      <c r="AH61" s="57"/>
      <c r="AI61" s="32"/>
      <c r="AJ61" s="54"/>
      <c r="AK61" s="12"/>
      <c r="AL61" s="12"/>
    </row>
    <row r="62" spans="1:38" s="44" customFormat="1" ht="43.5" hidden="1" customHeight="1">
      <c r="A62" s="29"/>
      <c r="B62" s="71" t="s">
        <v>75</v>
      </c>
      <c r="C62" s="30" t="s">
        <v>29</v>
      </c>
      <c r="D62" s="30"/>
      <c r="E62" s="36"/>
      <c r="F62" s="36"/>
      <c r="G62" s="32"/>
      <c r="H62" s="58"/>
      <c r="I62" s="59"/>
      <c r="J62" s="59"/>
      <c r="K62" s="59"/>
      <c r="L62" s="64"/>
      <c r="M62" s="65"/>
      <c r="N62" s="59"/>
      <c r="O62" s="59"/>
      <c r="P62" s="31"/>
      <c r="Q62" s="59"/>
      <c r="R62" s="59"/>
      <c r="S62" s="59"/>
      <c r="T62" s="36"/>
      <c r="U62" s="32"/>
      <c r="V62" s="32"/>
      <c r="W62" s="32"/>
      <c r="X62" s="32"/>
      <c r="Y62" s="32"/>
      <c r="Z62" s="32"/>
      <c r="AA62" s="31"/>
      <c r="AB62" s="70"/>
      <c r="AC62" s="70"/>
      <c r="AD62" s="70"/>
      <c r="AE62" s="70"/>
      <c r="AF62" s="70"/>
      <c r="AG62" s="32"/>
      <c r="AH62" s="57"/>
      <c r="AI62" s="32"/>
      <c r="AJ62" s="54"/>
      <c r="AK62" s="12"/>
      <c r="AL62" s="12"/>
    </row>
    <row r="63" spans="1:38" s="44" customFormat="1" ht="63" hidden="1" customHeight="1">
      <c r="A63" s="29"/>
      <c r="B63" s="71" t="s">
        <v>76</v>
      </c>
      <c r="C63" s="30" t="s">
        <v>29</v>
      </c>
      <c r="D63" s="30"/>
      <c r="E63" s="36"/>
      <c r="F63" s="36"/>
      <c r="G63" s="32"/>
      <c r="H63" s="58"/>
      <c r="I63" s="59"/>
      <c r="J63" s="59"/>
      <c r="K63" s="59"/>
      <c r="L63" s="64"/>
      <c r="M63" s="65"/>
      <c r="N63" s="59"/>
      <c r="O63" s="59"/>
      <c r="P63" s="31"/>
      <c r="Q63" s="59"/>
      <c r="R63" s="59"/>
      <c r="S63" s="59"/>
      <c r="T63" s="36"/>
      <c r="U63" s="32"/>
      <c r="V63" s="32"/>
      <c r="W63" s="32"/>
      <c r="X63" s="32"/>
      <c r="Y63" s="32"/>
      <c r="Z63" s="32"/>
      <c r="AA63" s="31"/>
      <c r="AB63" s="32"/>
      <c r="AC63" s="32"/>
      <c r="AD63" s="32"/>
      <c r="AE63" s="32"/>
      <c r="AF63" s="32"/>
      <c r="AG63" s="32"/>
      <c r="AH63" s="57"/>
      <c r="AI63" s="32"/>
      <c r="AJ63" s="54"/>
      <c r="AK63" s="12"/>
      <c r="AL63" s="12"/>
    </row>
    <row r="64" spans="1:38" s="44" customFormat="1" ht="63" hidden="1" customHeight="1">
      <c r="A64" s="29">
        <v>23</v>
      </c>
      <c r="B64" s="71" t="s">
        <v>77</v>
      </c>
      <c r="C64" s="30" t="s">
        <v>29</v>
      </c>
      <c r="D64" s="30"/>
      <c r="E64" s="36"/>
      <c r="F64" s="36"/>
      <c r="G64" s="32"/>
      <c r="H64" s="58"/>
      <c r="I64" s="59"/>
      <c r="J64" s="59"/>
      <c r="K64" s="59"/>
      <c r="L64" s="64"/>
      <c r="M64" s="65"/>
      <c r="N64" s="59"/>
      <c r="O64" s="59"/>
      <c r="P64" s="31"/>
      <c r="Q64" s="59"/>
      <c r="R64" s="59"/>
      <c r="S64" s="59"/>
      <c r="T64" s="36"/>
      <c r="U64" s="32"/>
      <c r="V64" s="32"/>
      <c r="W64" s="32"/>
      <c r="X64" s="32"/>
      <c r="Y64" s="32"/>
      <c r="Z64" s="32"/>
      <c r="AA64" s="31"/>
      <c r="AB64" s="32"/>
      <c r="AC64" s="32"/>
      <c r="AD64" s="32"/>
      <c r="AE64" s="32"/>
      <c r="AF64" s="32"/>
      <c r="AG64" s="32"/>
      <c r="AH64" s="57"/>
      <c r="AI64" s="32"/>
      <c r="AJ64" s="54"/>
      <c r="AK64" s="12"/>
      <c r="AL64" s="12"/>
    </row>
    <row r="65" spans="1:38" s="44" customFormat="1" ht="69" customHeight="1">
      <c r="A65" s="29">
        <v>21</v>
      </c>
      <c r="B65" s="71" t="s">
        <v>78</v>
      </c>
      <c r="C65" s="30" t="s">
        <v>29</v>
      </c>
      <c r="D65" s="30"/>
      <c r="E65" s="36">
        <f>14-6.85</f>
        <v>7.15</v>
      </c>
      <c r="F65" s="36"/>
      <c r="G65" s="32">
        <v>211713.8075</v>
      </c>
      <c r="H65" s="58"/>
      <c r="I65" s="59"/>
      <c r="J65" s="59"/>
      <c r="K65" s="59"/>
      <c r="L65" s="64"/>
      <c r="M65" s="65"/>
      <c r="N65" s="59"/>
      <c r="O65" s="59"/>
      <c r="P65" s="31"/>
      <c r="Q65" s="59"/>
      <c r="R65" s="59"/>
      <c r="S65" s="59"/>
      <c r="T65" s="36"/>
      <c r="U65" s="32"/>
      <c r="V65" s="32"/>
      <c r="W65" s="32"/>
      <c r="X65" s="32"/>
      <c r="Y65" s="32"/>
      <c r="Z65" s="31">
        <f>E65</f>
        <v>7.15</v>
      </c>
      <c r="AA65" s="31"/>
      <c r="AB65" s="32">
        <f>G65</f>
        <v>211713.8075</v>
      </c>
      <c r="AC65" s="32">
        <v>199010.97599000001</v>
      </c>
      <c r="AD65" s="32">
        <f>AB65-AC65</f>
        <v>12702.831509999989</v>
      </c>
      <c r="AE65" s="32"/>
      <c r="AF65" s="32"/>
      <c r="AG65" s="32"/>
      <c r="AH65" s="57"/>
      <c r="AI65" s="32"/>
      <c r="AJ65" s="54"/>
      <c r="AK65" s="12"/>
      <c r="AL65" s="12"/>
    </row>
    <row r="66" spans="1:38" s="44" customFormat="1" ht="71.25" customHeight="1">
      <c r="A66" s="29">
        <v>22</v>
      </c>
      <c r="B66" s="71" t="s">
        <v>79</v>
      </c>
      <c r="C66" s="30" t="s">
        <v>29</v>
      </c>
      <c r="D66" s="30"/>
      <c r="E66" s="36">
        <v>6.85</v>
      </c>
      <c r="F66" s="36"/>
      <c r="G66" s="32">
        <v>199456.93004000001</v>
      </c>
      <c r="H66" s="58"/>
      <c r="I66" s="59"/>
      <c r="J66" s="59"/>
      <c r="K66" s="59"/>
      <c r="L66" s="64"/>
      <c r="M66" s="65"/>
      <c r="N66" s="59"/>
      <c r="O66" s="59"/>
      <c r="P66" s="31"/>
      <c r="Q66" s="59"/>
      <c r="R66" s="59"/>
      <c r="S66" s="59"/>
      <c r="T66" s="36"/>
      <c r="U66" s="32"/>
      <c r="V66" s="32"/>
      <c r="W66" s="32"/>
      <c r="X66" s="32"/>
      <c r="Y66" s="32"/>
      <c r="Z66" s="31">
        <f>E66</f>
        <v>6.85</v>
      </c>
      <c r="AA66" s="31"/>
      <c r="AB66" s="32">
        <f>G66</f>
        <v>199456.93004000001</v>
      </c>
      <c r="AC66" s="32">
        <v>187489.51134999999</v>
      </c>
      <c r="AD66" s="32">
        <f>AB66-AC66</f>
        <v>11967.41869000002</v>
      </c>
      <c r="AE66" s="32"/>
      <c r="AF66" s="31"/>
      <c r="AG66" s="32"/>
      <c r="AH66" s="57"/>
      <c r="AI66" s="32"/>
      <c r="AJ66" s="54"/>
      <c r="AK66" s="12"/>
      <c r="AL66" s="12"/>
    </row>
    <row r="67" spans="1:38" s="44" customFormat="1" ht="32.25" customHeight="1">
      <c r="A67" s="29">
        <v>23</v>
      </c>
      <c r="B67" s="71" t="s">
        <v>80</v>
      </c>
      <c r="C67" s="30" t="s">
        <v>42</v>
      </c>
      <c r="D67" s="30"/>
      <c r="E67" s="36">
        <v>5</v>
      </c>
      <c r="F67" s="36"/>
      <c r="G67" s="32">
        <f>E67*70000</f>
        <v>350000</v>
      </c>
      <c r="H67" s="58"/>
      <c r="I67" s="59"/>
      <c r="J67" s="59"/>
      <c r="K67" s="59"/>
      <c r="L67" s="64"/>
      <c r="M67" s="65"/>
      <c r="N67" s="59"/>
      <c r="O67" s="59"/>
      <c r="P67" s="31"/>
      <c r="Q67" s="59"/>
      <c r="R67" s="59"/>
      <c r="S67" s="59"/>
      <c r="T67" s="36"/>
      <c r="U67" s="32"/>
      <c r="V67" s="32"/>
      <c r="W67" s="32"/>
      <c r="X67" s="32"/>
      <c r="Y67" s="32"/>
      <c r="Z67" s="31"/>
      <c r="AA67" s="31"/>
      <c r="AB67" s="32"/>
      <c r="AC67" s="32"/>
      <c r="AD67" s="32"/>
      <c r="AE67" s="32"/>
      <c r="AF67" s="31">
        <f>E67</f>
        <v>5</v>
      </c>
      <c r="AG67" s="32"/>
      <c r="AH67" s="57">
        <f>G67</f>
        <v>350000</v>
      </c>
      <c r="AI67" s="32">
        <f>AH67*0.88</f>
        <v>308000</v>
      </c>
      <c r="AJ67" s="54">
        <f>AH67-AI67</f>
        <v>42000</v>
      </c>
      <c r="AK67" s="12"/>
      <c r="AL67" s="12"/>
    </row>
    <row r="68" spans="1:38" s="44" customFormat="1" ht="32.25" customHeight="1">
      <c r="A68" s="151" t="s">
        <v>81</v>
      </c>
      <c r="B68" s="151"/>
      <c r="C68" s="30"/>
      <c r="D68" s="30"/>
      <c r="E68" s="63">
        <f>SUM(E61:E67)</f>
        <v>22.6</v>
      </c>
      <c r="F68" s="32"/>
      <c r="G68" s="26">
        <f>SUM(G61:G67)</f>
        <v>850636.36447999999</v>
      </c>
      <c r="H68" s="63" t="e">
        <f>SUM(#REF!)</f>
        <v>#REF!</v>
      </c>
      <c r="I68" s="45" t="e">
        <f>SUM(#REF!)</f>
        <v>#REF!</v>
      </c>
      <c r="J68" s="45" t="e">
        <f>SUM(#REF!)</f>
        <v>#REF!</v>
      </c>
      <c r="K68" s="45"/>
      <c r="L68" s="63" t="e">
        <f>SUM(#REF!)</f>
        <v>#REF!</v>
      </c>
      <c r="M68" s="45" t="e">
        <f>SUM(#REF!)</f>
        <v>#REF!</v>
      </c>
      <c r="N68" s="45" t="e">
        <f>SUM(#REF!)</f>
        <v>#REF!</v>
      </c>
      <c r="O68" s="45" t="e">
        <f>SUM(#REF!)</f>
        <v>#REF!</v>
      </c>
      <c r="P68" s="63">
        <f>SUM(P60:P62)</f>
        <v>0</v>
      </c>
      <c r="Q68" s="45">
        <f>SUM(Q60:Q62)</f>
        <v>0</v>
      </c>
      <c r="R68" s="45">
        <f>SUM(R60:R62)</f>
        <v>0</v>
      </c>
      <c r="S68" s="45">
        <f>SUM(S60:S62)</f>
        <v>0</v>
      </c>
      <c r="T68" s="63">
        <f>SUM(T60:T62)</f>
        <v>3.6</v>
      </c>
      <c r="U68" s="26"/>
      <c r="V68" s="26">
        <f>SUM(V60:V62)</f>
        <v>89465.626940000002</v>
      </c>
      <c r="W68" s="26"/>
      <c r="X68" s="26">
        <f>SUM(X60:X62)</f>
        <v>89465.626940000002</v>
      </c>
      <c r="Y68" s="26"/>
      <c r="Z68" s="63">
        <f>SUM(Z65:Z67)</f>
        <v>14</v>
      </c>
      <c r="AA68" s="63"/>
      <c r="AB68" s="26">
        <f>SUM(AB65:AB67)</f>
        <v>411170.73754</v>
      </c>
      <c r="AC68" s="26">
        <f>SUM(AC65:AC67)</f>
        <v>386500.48733999999</v>
      </c>
      <c r="AD68" s="26">
        <f>SUM(AD65:AD66)</f>
        <v>24670.250200000009</v>
      </c>
      <c r="AE68" s="26"/>
      <c r="AF68" s="26">
        <f>SUM(AF66:AF67)</f>
        <v>5</v>
      </c>
      <c r="AG68" s="26"/>
      <c r="AH68" s="47">
        <f>SUM(AH66:AH67)</f>
        <v>350000</v>
      </c>
      <c r="AI68" s="26">
        <f>SUM(AI66:AI67)</f>
        <v>308000</v>
      </c>
      <c r="AJ68" s="27">
        <f>SUM(AJ66:AJ67)</f>
        <v>42000</v>
      </c>
      <c r="AK68" s="12"/>
      <c r="AL68" s="12"/>
    </row>
    <row r="69" spans="1:38" s="44" customFormat="1" ht="29.25" hidden="1" customHeight="1">
      <c r="A69" s="146" t="s">
        <v>82</v>
      </c>
      <c r="B69" s="146"/>
      <c r="C69" s="150"/>
      <c r="D69" s="150"/>
      <c r="E69" s="150"/>
      <c r="F69" s="56"/>
      <c r="G69" s="26"/>
      <c r="H69" s="30"/>
      <c r="I69" s="30"/>
      <c r="J69" s="30"/>
      <c r="K69" s="30"/>
      <c r="L69" s="30"/>
      <c r="M69" s="30"/>
      <c r="N69" s="30"/>
      <c r="O69" s="30"/>
      <c r="P69" s="30"/>
      <c r="Q69" s="59"/>
      <c r="R69" s="30"/>
      <c r="S69" s="30"/>
      <c r="T69" s="30"/>
      <c r="U69" s="32"/>
      <c r="V69" s="32"/>
      <c r="W69" s="32"/>
      <c r="X69" s="32"/>
      <c r="Y69" s="32"/>
      <c r="Z69" s="32"/>
      <c r="AA69" s="30"/>
      <c r="AB69" s="32"/>
      <c r="AC69" s="32"/>
      <c r="AD69" s="32"/>
      <c r="AE69" s="32"/>
      <c r="AF69" s="32"/>
      <c r="AG69" s="32"/>
      <c r="AH69" s="57"/>
      <c r="AI69" s="32"/>
      <c r="AJ69" s="54"/>
      <c r="AK69" s="12"/>
      <c r="AL69" s="12"/>
    </row>
    <row r="70" spans="1:38" s="44" customFormat="1" ht="48" hidden="1" customHeight="1">
      <c r="A70" s="66"/>
      <c r="B70" s="71" t="s">
        <v>83</v>
      </c>
      <c r="C70" s="30" t="s">
        <v>29</v>
      </c>
      <c r="D70" s="30"/>
      <c r="E70" s="36"/>
      <c r="F70" s="36"/>
      <c r="G70" s="32"/>
      <c r="H70" s="58"/>
      <c r="I70" s="59"/>
      <c r="J70" s="59"/>
      <c r="K70" s="59"/>
      <c r="L70" s="64"/>
      <c r="M70" s="65"/>
      <c r="N70" s="59"/>
      <c r="O70" s="59"/>
      <c r="P70" s="64"/>
      <c r="Q70" s="65"/>
      <c r="R70" s="59"/>
      <c r="S70" s="59"/>
      <c r="T70" s="31"/>
      <c r="U70" s="32"/>
      <c r="V70" s="32"/>
      <c r="W70" s="32"/>
      <c r="X70" s="32"/>
      <c r="Y70" s="32"/>
      <c r="Z70" s="32"/>
      <c r="AA70" s="31"/>
      <c r="AB70" s="70"/>
      <c r="AC70" s="70"/>
      <c r="AD70" s="70"/>
      <c r="AE70" s="70"/>
      <c r="AF70" s="70"/>
      <c r="AG70" s="32"/>
      <c r="AH70" s="57"/>
      <c r="AI70" s="32"/>
      <c r="AJ70" s="54"/>
      <c r="AK70" s="12"/>
      <c r="AL70" s="12"/>
    </row>
    <row r="71" spans="1:38" s="44" customFormat="1" ht="55.5" hidden="1" customHeight="1">
      <c r="A71" s="72"/>
      <c r="B71" s="71"/>
      <c r="C71" s="30"/>
      <c r="D71" s="30"/>
      <c r="E71" s="36"/>
      <c r="F71" s="58"/>
      <c r="G71" s="32"/>
      <c r="H71" s="58"/>
      <c r="I71" s="59"/>
      <c r="J71" s="59"/>
      <c r="K71" s="59"/>
      <c r="L71" s="64"/>
      <c r="M71" s="65"/>
      <c r="N71" s="59"/>
      <c r="O71" s="59"/>
      <c r="P71" s="64"/>
      <c r="Q71" s="65"/>
      <c r="R71" s="59"/>
      <c r="S71" s="59"/>
      <c r="T71" s="36"/>
      <c r="U71" s="32"/>
      <c r="V71" s="32"/>
      <c r="W71" s="32"/>
      <c r="X71" s="32"/>
      <c r="Y71" s="32"/>
      <c r="Z71" s="58"/>
      <c r="AA71" s="31"/>
      <c r="AB71" s="32"/>
      <c r="AC71" s="32"/>
      <c r="AD71" s="32"/>
      <c r="AE71" s="32"/>
      <c r="AF71" s="32"/>
      <c r="AG71" s="32"/>
      <c r="AH71" s="57"/>
      <c r="AI71" s="32"/>
      <c r="AJ71" s="54"/>
      <c r="AK71" s="12"/>
      <c r="AL71" s="12"/>
    </row>
    <row r="72" spans="1:38" s="44" customFormat="1" ht="32.25" hidden="1" customHeight="1">
      <c r="A72" s="147" t="s">
        <v>84</v>
      </c>
      <c r="B72" s="147"/>
      <c r="C72" s="147"/>
      <c r="D72" s="33"/>
      <c r="E72" s="63">
        <f>SUM(E71:E71)</f>
        <v>0</v>
      </c>
      <c r="F72" s="63"/>
      <c r="G72" s="26">
        <f>SUM(G71:G71)</f>
        <v>0</v>
      </c>
      <c r="H72" s="63" t="e">
        <f>SUM(#REF!)</f>
        <v>#REF!</v>
      </c>
      <c r="I72" s="45" t="e">
        <f>SUM(#REF!)</f>
        <v>#REF!</v>
      </c>
      <c r="J72" s="45" t="e">
        <f>SUM(#REF!)</f>
        <v>#REF!</v>
      </c>
      <c r="K72" s="45"/>
      <c r="L72" s="63" t="e">
        <f>SUM(#REF!)</f>
        <v>#REF!</v>
      </c>
      <c r="M72" s="45" t="e">
        <f>SUM(#REF!)</f>
        <v>#REF!</v>
      </c>
      <c r="N72" s="45" t="e">
        <f>SUM(#REF!)</f>
        <v>#REF!</v>
      </c>
      <c r="O72" s="45" t="e">
        <f>SUM(#REF!)</f>
        <v>#REF!</v>
      </c>
      <c r="P72" s="63">
        <f>SUM(P70:P70)</f>
        <v>0</v>
      </c>
      <c r="Q72" s="45">
        <f>SUM(Q70:Q70)</f>
        <v>0</v>
      </c>
      <c r="R72" s="45">
        <f>SUM(R70:R70)</f>
        <v>0</v>
      </c>
      <c r="S72" s="45">
        <f>SUM(S70:S70)</f>
        <v>0</v>
      </c>
      <c r="T72" s="63">
        <f>SUM(T70:T70)</f>
        <v>0</v>
      </c>
      <c r="U72" s="63"/>
      <c r="V72" s="26">
        <f>SUM(V70:V70)</f>
        <v>0</v>
      </c>
      <c r="W72" s="26">
        <f>SUM(W70:W70)</f>
        <v>0</v>
      </c>
      <c r="X72" s="26">
        <f>SUM(X70:X70)</f>
        <v>0</v>
      </c>
      <c r="Y72" s="26"/>
      <c r="Z72" s="63"/>
      <c r="AA72" s="63"/>
      <c r="AB72" s="26"/>
      <c r="AC72" s="26"/>
      <c r="AD72" s="26"/>
      <c r="AE72" s="26"/>
      <c r="AF72" s="26"/>
      <c r="AG72" s="26"/>
      <c r="AH72" s="47"/>
      <c r="AI72" s="26"/>
      <c r="AJ72" s="27"/>
      <c r="AK72" s="12"/>
      <c r="AL72" s="12"/>
    </row>
    <row r="73" spans="1:38" s="44" customFormat="1" ht="27" customHeight="1">
      <c r="A73" s="144" t="s">
        <v>85</v>
      </c>
      <c r="B73" s="144"/>
      <c r="C73" s="150"/>
      <c r="D73" s="150"/>
      <c r="E73" s="150"/>
      <c r="F73" s="56"/>
      <c r="G73" s="26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2"/>
      <c r="V73" s="32"/>
      <c r="W73" s="32"/>
      <c r="X73" s="32"/>
      <c r="Y73" s="32"/>
      <c r="Z73" s="32"/>
      <c r="AA73" s="30"/>
      <c r="AB73" s="32"/>
      <c r="AC73" s="32"/>
      <c r="AD73" s="32"/>
      <c r="AE73" s="32"/>
      <c r="AF73" s="32"/>
      <c r="AG73" s="32"/>
      <c r="AH73" s="57"/>
      <c r="AI73" s="32"/>
      <c r="AJ73" s="54"/>
      <c r="AK73" s="12"/>
      <c r="AL73" s="12"/>
    </row>
    <row r="74" spans="1:38" s="44" customFormat="1" ht="34.5" customHeight="1">
      <c r="A74" s="29">
        <v>24</v>
      </c>
      <c r="B74" s="71" t="s">
        <v>86</v>
      </c>
      <c r="C74" s="30" t="s">
        <v>46</v>
      </c>
      <c r="D74" s="56"/>
      <c r="E74" s="36">
        <v>3.9</v>
      </c>
      <c r="F74" s="32"/>
      <c r="G74" s="32">
        <v>113123.16094</v>
      </c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2"/>
      <c r="V74" s="32"/>
      <c r="W74" s="32"/>
      <c r="X74" s="32"/>
      <c r="Y74" s="32"/>
      <c r="Z74" s="32">
        <f>E74</f>
        <v>3.9</v>
      </c>
      <c r="AA74" s="30"/>
      <c r="AB74" s="32">
        <f>G74</f>
        <v>113123.16094</v>
      </c>
      <c r="AC74" s="32">
        <v>106335.76965</v>
      </c>
      <c r="AD74" s="32">
        <f>AB74-AC74</f>
        <v>6787.3912899999996</v>
      </c>
      <c r="AE74" s="32"/>
      <c r="AF74" s="32"/>
      <c r="AG74" s="32"/>
      <c r="AH74" s="57"/>
      <c r="AI74" s="32"/>
      <c r="AJ74" s="54"/>
      <c r="AK74" s="12"/>
      <c r="AL74" s="12"/>
    </row>
    <row r="75" spans="1:38" s="44" customFormat="1" ht="48.75" customHeight="1">
      <c r="A75" s="29">
        <v>25</v>
      </c>
      <c r="B75" s="71" t="s">
        <v>87</v>
      </c>
      <c r="C75" s="30" t="s">
        <v>42</v>
      </c>
      <c r="D75" s="56"/>
      <c r="E75" s="36">
        <v>6</v>
      </c>
      <c r="F75" s="32"/>
      <c r="G75" s="32">
        <f>E75*60000</f>
        <v>360000</v>
      </c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2"/>
      <c r="V75" s="32"/>
      <c r="W75" s="32"/>
      <c r="X75" s="32" t="s">
        <v>45</v>
      </c>
      <c r="Y75" s="32"/>
      <c r="Z75" s="31"/>
      <c r="AA75" s="30"/>
      <c r="AB75" s="32"/>
      <c r="AC75" s="32"/>
      <c r="AD75" s="32"/>
      <c r="AE75" s="32"/>
      <c r="AF75" s="31">
        <f>E75</f>
        <v>6</v>
      </c>
      <c r="AG75" s="32"/>
      <c r="AH75" s="57">
        <f>G75</f>
        <v>360000</v>
      </c>
      <c r="AI75" s="32">
        <f>AH75*0.88</f>
        <v>316800</v>
      </c>
      <c r="AJ75" s="54">
        <f>AH75-AI75</f>
        <v>43200</v>
      </c>
      <c r="AK75" s="12"/>
      <c r="AL75" s="12"/>
    </row>
    <row r="76" spans="1:38" s="44" customFormat="1" ht="32.25" customHeight="1">
      <c r="A76" s="72"/>
      <c r="B76" s="53" t="s">
        <v>52</v>
      </c>
      <c r="C76" s="30"/>
      <c r="D76" s="30"/>
      <c r="E76" s="62">
        <f>T76+Z76</f>
        <v>6.3460000000000001</v>
      </c>
      <c r="F76" s="62"/>
      <c r="G76" s="32">
        <f>V76+AB76</f>
        <v>274941</v>
      </c>
      <c r="H76" s="58"/>
      <c r="I76" s="59"/>
      <c r="J76" s="59"/>
      <c r="K76" s="59"/>
      <c r="L76" s="64"/>
      <c r="M76" s="65"/>
      <c r="N76" s="59"/>
      <c r="O76" s="59"/>
      <c r="P76" s="31"/>
      <c r="Q76" s="59"/>
      <c r="R76" s="59"/>
      <c r="S76" s="59"/>
      <c r="T76" s="32">
        <v>4.5209999999999999</v>
      </c>
      <c r="U76" s="32"/>
      <c r="V76" s="32">
        <v>186480</v>
      </c>
      <c r="W76" s="32"/>
      <c r="X76" s="32">
        <f>V76</f>
        <v>186480</v>
      </c>
      <c r="Y76" s="32"/>
      <c r="Z76" s="32">
        <v>1.825</v>
      </c>
      <c r="AA76" s="30"/>
      <c r="AB76" s="32">
        <v>88461</v>
      </c>
      <c r="AC76" s="32"/>
      <c r="AD76" s="32">
        <f>AB76</f>
        <v>88461</v>
      </c>
      <c r="AE76" s="32"/>
      <c r="AF76" s="32"/>
      <c r="AG76" s="32"/>
      <c r="AH76" s="57"/>
      <c r="AI76" s="32"/>
      <c r="AJ76" s="54"/>
      <c r="AK76" s="12"/>
      <c r="AL76" s="12"/>
    </row>
    <row r="77" spans="1:38" s="44" customFormat="1" ht="30.75" customHeight="1">
      <c r="A77" s="144" t="s">
        <v>88</v>
      </c>
      <c r="B77" s="144"/>
      <c r="C77" s="30"/>
      <c r="D77" s="30"/>
      <c r="E77" s="63">
        <f>SUM(E74:E76)</f>
        <v>16.246000000000002</v>
      </c>
      <c r="F77" s="63"/>
      <c r="G77" s="26">
        <f>SUM(G74:G76)</f>
        <v>748064.16093999997</v>
      </c>
      <c r="H77" s="63" t="e">
        <f>SUM(#REF!)</f>
        <v>#REF!</v>
      </c>
      <c r="I77" s="45" t="e">
        <f>SUM(#REF!)</f>
        <v>#REF!</v>
      </c>
      <c r="J77" s="45" t="e">
        <f>SUM(#REF!)</f>
        <v>#REF!</v>
      </c>
      <c r="K77" s="45"/>
      <c r="L77" s="63" t="e">
        <f>SUM(#REF!)</f>
        <v>#REF!</v>
      </c>
      <c r="M77" s="45" t="e">
        <f>SUM(#REF!)</f>
        <v>#REF!</v>
      </c>
      <c r="N77" s="45" t="e">
        <f>SUM(#REF!)</f>
        <v>#REF!</v>
      </c>
      <c r="O77" s="45" t="e">
        <f>SUM(#REF!)</f>
        <v>#REF!</v>
      </c>
      <c r="P77" s="63" t="e">
        <f>SUM(#REF!)</f>
        <v>#REF!</v>
      </c>
      <c r="Q77" s="45" t="e">
        <f>SUM(#REF!)</f>
        <v>#REF!</v>
      </c>
      <c r="R77" s="45" t="e">
        <f>SUM(#REF!)</f>
        <v>#REF!</v>
      </c>
      <c r="S77" s="45"/>
      <c r="T77" s="63">
        <f>SUM(T76:T76)</f>
        <v>4.5209999999999999</v>
      </c>
      <c r="U77" s="26"/>
      <c r="V77" s="26">
        <f>SUM(V76:V76)</f>
        <v>186480</v>
      </c>
      <c r="W77" s="26"/>
      <c r="X77" s="26">
        <f>SUM(X76:X76)</f>
        <v>186480</v>
      </c>
      <c r="Y77" s="26"/>
      <c r="Z77" s="63">
        <f>SUM(Z74:Z76)</f>
        <v>5.7249999999999996</v>
      </c>
      <c r="AA77" s="26"/>
      <c r="AB77" s="26">
        <f>SUM(AB74:AB76)</f>
        <v>201584.16094</v>
      </c>
      <c r="AC77" s="26">
        <f>SUM(AC74:AC76)</f>
        <v>106335.76965</v>
      </c>
      <c r="AD77" s="26">
        <f>SUM(AD74:AD76)</f>
        <v>95248.39129</v>
      </c>
      <c r="AE77" s="26"/>
      <c r="AF77" s="63">
        <f>SUM(AF74:AF76)</f>
        <v>6</v>
      </c>
      <c r="AG77" s="63"/>
      <c r="AH77" s="26">
        <f>SUM(AH74:AH76)</f>
        <v>360000</v>
      </c>
      <c r="AI77" s="26">
        <f>SUM(AI74:AI76)</f>
        <v>316800</v>
      </c>
      <c r="AJ77" s="27">
        <f>SUM(AJ74:AJ76)</f>
        <v>43200</v>
      </c>
      <c r="AK77" s="12"/>
      <c r="AL77" s="12"/>
    </row>
    <row r="78" spans="1:38" s="44" customFormat="1" ht="33.75" customHeight="1">
      <c r="A78" s="144" t="s">
        <v>89</v>
      </c>
      <c r="B78" s="144"/>
      <c r="C78" s="150"/>
      <c r="D78" s="150"/>
      <c r="E78" s="150"/>
      <c r="F78" s="56"/>
      <c r="G78" s="26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2"/>
      <c r="V78" s="32"/>
      <c r="W78" s="32"/>
      <c r="X78" s="32"/>
      <c r="Y78" s="32"/>
      <c r="Z78" s="32"/>
      <c r="AA78" s="30"/>
      <c r="AB78" s="32"/>
      <c r="AC78" s="32"/>
      <c r="AD78" s="32"/>
      <c r="AE78" s="32"/>
      <c r="AF78" s="32"/>
      <c r="AG78" s="32"/>
      <c r="AH78" s="57"/>
      <c r="AI78" s="32"/>
      <c r="AJ78" s="54"/>
      <c r="AK78" s="12"/>
      <c r="AL78" s="12"/>
    </row>
    <row r="79" spans="1:38" s="44" customFormat="1" ht="43.5" customHeight="1">
      <c r="A79" s="29">
        <v>26</v>
      </c>
      <c r="B79" s="71" t="s">
        <v>90</v>
      </c>
      <c r="C79" s="30" t="s">
        <v>29</v>
      </c>
      <c r="D79" s="30"/>
      <c r="E79" s="36">
        <v>2.2999999999999998</v>
      </c>
      <c r="F79" s="36"/>
      <c r="G79" s="32">
        <v>58857.782299999999</v>
      </c>
      <c r="H79" s="58"/>
      <c r="I79" s="59"/>
      <c r="J79" s="59"/>
      <c r="K79" s="59"/>
      <c r="L79" s="64"/>
      <c r="M79" s="65"/>
      <c r="N79" s="59"/>
      <c r="O79" s="59"/>
      <c r="P79" s="31"/>
      <c r="Q79" s="59"/>
      <c r="R79" s="59"/>
      <c r="S79" s="59"/>
      <c r="T79" s="31">
        <f>E79</f>
        <v>2.2999999999999998</v>
      </c>
      <c r="U79" s="32"/>
      <c r="V79" s="32">
        <f>G79</f>
        <v>58857.782299999999</v>
      </c>
      <c r="W79" s="32"/>
      <c r="X79" s="32">
        <f>V79</f>
        <v>58857.782299999999</v>
      </c>
      <c r="Y79" s="32"/>
      <c r="Z79" s="36"/>
      <c r="AA79" s="31"/>
      <c r="AB79" s="32"/>
      <c r="AC79" s="32"/>
      <c r="AD79" s="32"/>
      <c r="AE79" s="32"/>
      <c r="AF79" s="32"/>
      <c r="AG79" s="32"/>
      <c r="AH79" s="57"/>
      <c r="AI79" s="32"/>
      <c r="AJ79" s="54"/>
      <c r="AK79" s="12"/>
      <c r="AL79" s="12"/>
    </row>
    <row r="80" spans="1:38" s="44" customFormat="1" ht="69" customHeight="1">
      <c r="A80" s="29">
        <v>27</v>
      </c>
      <c r="B80" s="71" t="s">
        <v>91</v>
      </c>
      <c r="C80" s="30" t="s">
        <v>29</v>
      </c>
      <c r="D80" s="30"/>
      <c r="E80" s="36">
        <f>3.07+4.3</f>
        <v>7.3699999999999992</v>
      </c>
      <c r="F80" s="36"/>
      <c r="G80" s="32">
        <f>AB80+AH80</f>
        <v>206174.5</v>
      </c>
      <c r="H80" s="58"/>
      <c r="I80" s="59"/>
      <c r="J80" s="59"/>
      <c r="K80" s="59"/>
      <c r="L80" s="64"/>
      <c r="M80" s="65"/>
      <c r="N80" s="59"/>
      <c r="O80" s="59"/>
      <c r="P80" s="31"/>
      <c r="Q80" s="59"/>
      <c r="R80" s="59"/>
      <c r="S80" s="59"/>
      <c r="T80" s="31"/>
      <c r="U80" s="32"/>
      <c r="V80" s="32"/>
      <c r="W80" s="32"/>
      <c r="X80" s="32"/>
      <c r="Y80" s="32"/>
      <c r="Z80" s="31">
        <v>3.07</v>
      </c>
      <c r="AA80" s="31"/>
      <c r="AB80" s="32">
        <v>77174.5</v>
      </c>
      <c r="AC80" s="32">
        <v>72544.028879999998</v>
      </c>
      <c r="AD80" s="32">
        <f>AB80-AC80</f>
        <v>4630.471120000002</v>
      </c>
      <c r="AE80" s="32"/>
      <c r="AF80" s="32">
        <v>4.3</v>
      </c>
      <c r="AG80" s="32"/>
      <c r="AH80" s="57">
        <f>AF80*30000</f>
        <v>129000</v>
      </c>
      <c r="AI80" s="32">
        <f>AH80*0.88</f>
        <v>113520</v>
      </c>
      <c r="AJ80" s="54">
        <f>AH80-AI80</f>
        <v>15480</v>
      </c>
      <c r="AK80" s="12"/>
      <c r="AL80" s="12"/>
    </row>
    <row r="81" spans="1:38" s="44" customFormat="1" ht="33" hidden="1" customHeight="1">
      <c r="A81" s="29">
        <v>26</v>
      </c>
      <c r="B81" s="71" t="s">
        <v>92</v>
      </c>
      <c r="C81" s="30" t="s">
        <v>29</v>
      </c>
      <c r="D81" s="30"/>
      <c r="E81" s="36"/>
      <c r="F81" s="36"/>
      <c r="G81" s="32"/>
      <c r="H81" s="58"/>
      <c r="I81" s="59"/>
      <c r="J81" s="59"/>
      <c r="K81" s="59"/>
      <c r="L81" s="64"/>
      <c r="M81" s="65"/>
      <c r="N81" s="59"/>
      <c r="O81" s="59"/>
      <c r="P81" s="31"/>
      <c r="Q81" s="59"/>
      <c r="R81" s="59"/>
      <c r="S81" s="59"/>
      <c r="T81" s="31"/>
      <c r="U81" s="32"/>
      <c r="V81" s="32"/>
      <c r="W81" s="32"/>
      <c r="X81" s="32"/>
      <c r="Y81" s="32"/>
      <c r="Z81" s="31"/>
      <c r="AA81" s="31"/>
      <c r="AB81" s="32"/>
      <c r="AC81" s="73"/>
      <c r="AD81" s="32"/>
      <c r="AE81" s="32"/>
      <c r="AF81" s="31">
        <f>E81</f>
        <v>0</v>
      </c>
      <c r="AG81" s="32"/>
      <c r="AH81" s="57">
        <f>G81</f>
        <v>0</v>
      </c>
      <c r="AI81" s="32">
        <f>AH81*0.88</f>
        <v>0</v>
      </c>
      <c r="AJ81" s="54">
        <f>AH81-AI81</f>
        <v>0</v>
      </c>
      <c r="AK81" s="12"/>
      <c r="AL81" s="12"/>
    </row>
    <row r="82" spans="1:38" s="44" customFormat="1" ht="27.75" customHeight="1">
      <c r="A82" s="151" t="s">
        <v>93</v>
      </c>
      <c r="B82" s="151"/>
      <c r="C82" s="30"/>
      <c r="D82" s="30"/>
      <c r="E82" s="63">
        <f>SUM(E79:E81)</f>
        <v>9.6699999999999982</v>
      </c>
      <c r="F82" s="63"/>
      <c r="G82" s="26">
        <f>SUM(G79:G81)</f>
        <v>265032.28230000002</v>
      </c>
      <c r="H82" s="63" t="e">
        <f>SUM(#REF!)</f>
        <v>#REF!</v>
      </c>
      <c r="I82" s="45" t="e">
        <f>SUM(#REF!)</f>
        <v>#REF!</v>
      </c>
      <c r="J82" s="45" t="e">
        <f>SUM(#REF!)</f>
        <v>#REF!</v>
      </c>
      <c r="K82" s="45"/>
      <c r="L82" s="63" t="e">
        <f>SUM(#REF!)</f>
        <v>#REF!</v>
      </c>
      <c r="M82" s="45" t="e">
        <f>SUM(#REF!)</f>
        <v>#REF!</v>
      </c>
      <c r="N82" s="45" t="e">
        <f>SUM(#REF!)</f>
        <v>#REF!</v>
      </c>
      <c r="O82" s="45" t="e">
        <f>SUM(#REF!)</f>
        <v>#REF!</v>
      </c>
      <c r="P82" s="63" t="e">
        <f>SUM(#REF!)</f>
        <v>#REF!</v>
      </c>
      <c r="Q82" s="45" t="e">
        <f>SUM(#REF!)</f>
        <v>#REF!</v>
      </c>
      <c r="R82" s="45" t="e">
        <f>SUM(#REF!)</f>
        <v>#REF!</v>
      </c>
      <c r="S82" s="45"/>
      <c r="T82" s="63">
        <f>SUM(T79:T80)</f>
        <v>2.2999999999999998</v>
      </c>
      <c r="U82" s="63"/>
      <c r="V82" s="26">
        <f>SUM(V79:V80)</f>
        <v>58857.782299999999</v>
      </c>
      <c r="W82" s="26"/>
      <c r="X82" s="26">
        <f>SUM(X79:X80)</f>
        <v>58857.782299999999</v>
      </c>
      <c r="Y82" s="26"/>
      <c r="Z82" s="63">
        <f>SUM(Z79:Z80)</f>
        <v>3.07</v>
      </c>
      <c r="AA82" s="63"/>
      <c r="AB82" s="26">
        <f>SUM(AB79:AB80)</f>
        <v>77174.5</v>
      </c>
      <c r="AC82" s="26">
        <f>SUM(AC79:AC80)</f>
        <v>72544.028879999998</v>
      </c>
      <c r="AD82" s="26">
        <f>SUM(AD79:AD80)</f>
        <v>4630.471120000002</v>
      </c>
      <c r="AE82" s="26"/>
      <c r="AF82" s="26">
        <f>SUM(AF80:AF81)</f>
        <v>4.3</v>
      </c>
      <c r="AG82" s="26"/>
      <c r="AH82" s="47">
        <f>SUM(AH80:AH81)</f>
        <v>129000</v>
      </c>
      <c r="AI82" s="26">
        <f>SUM(AI80:AI81)</f>
        <v>113520</v>
      </c>
      <c r="AJ82" s="27">
        <f>SUM(AJ80:AJ81)</f>
        <v>15480</v>
      </c>
      <c r="AK82" s="12"/>
      <c r="AL82" s="12"/>
    </row>
    <row r="83" spans="1:38" s="44" customFormat="1" ht="29.25" customHeight="1">
      <c r="A83" s="144" t="s">
        <v>94</v>
      </c>
      <c r="B83" s="144"/>
      <c r="C83" s="150"/>
      <c r="D83" s="150"/>
      <c r="E83" s="150"/>
      <c r="F83" s="56"/>
      <c r="G83" s="26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2"/>
      <c r="V83" s="32"/>
      <c r="W83" s="32"/>
      <c r="X83" s="32"/>
      <c r="Y83" s="32"/>
      <c r="Z83" s="32"/>
      <c r="AA83" s="30"/>
      <c r="AB83" s="32"/>
      <c r="AC83" s="32"/>
      <c r="AD83" s="32"/>
      <c r="AE83" s="32"/>
      <c r="AF83" s="32"/>
      <c r="AG83" s="32"/>
      <c r="AH83" s="57"/>
      <c r="AI83" s="32"/>
      <c r="AJ83" s="54"/>
      <c r="AK83" s="12"/>
      <c r="AL83" s="12"/>
    </row>
    <row r="84" spans="1:38" s="44" customFormat="1" ht="54.75" customHeight="1">
      <c r="A84" s="29">
        <v>28</v>
      </c>
      <c r="B84" s="71" t="s">
        <v>95</v>
      </c>
      <c r="C84" s="30" t="s">
        <v>29</v>
      </c>
      <c r="D84" s="30"/>
      <c r="E84" s="36">
        <v>4.0999999999999996</v>
      </c>
      <c r="F84" s="36"/>
      <c r="G84" s="32">
        <v>128306.87396</v>
      </c>
      <c r="H84" s="58"/>
      <c r="I84" s="59"/>
      <c r="J84" s="59"/>
      <c r="K84" s="59"/>
      <c r="L84" s="64"/>
      <c r="M84" s="65"/>
      <c r="N84" s="59"/>
      <c r="O84" s="59"/>
      <c r="P84" s="64"/>
      <c r="Q84" s="65"/>
      <c r="R84" s="59"/>
      <c r="S84" s="59"/>
      <c r="T84" s="31"/>
      <c r="U84" s="32"/>
      <c r="V84" s="32"/>
      <c r="W84" s="32"/>
      <c r="X84" s="32"/>
      <c r="Y84" s="32"/>
      <c r="Z84" s="31">
        <v>4.0999999999999996</v>
      </c>
      <c r="AA84" s="31"/>
      <c r="AB84" s="73">
        <f>G84</f>
        <v>128306.87396</v>
      </c>
      <c r="AC84" s="32">
        <v>120608.45967</v>
      </c>
      <c r="AD84" s="32">
        <f>AB84-AC84</f>
        <v>7698.4142900000006</v>
      </c>
      <c r="AE84" s="32"/>
      <c r="AF84" s="32"/>
      <c r="AG84" s="32"/>
      <c r="AH84" s="57"/>
      <c r="AI84" s="32"/>
      <c r="AJ84" s="54"/>
      <c r="AK84" s="12"/>
      <c r="AL84" s="12"/>
    </row>
    <row r="85" spans="1:38" s="44" customFormat="1" ht="44.25" hidden="1" customHeight="1">
      <c r="A85" s="29">
        <v>27</v>
      </c>
      <c r="B85" s="71" t="s">
        <v>96</v>
      </c>
      <c r="C85" s="30"/>
      <c r="D85" s="30"/>
      <c r="E85" s="36"/>
      <c r="F85" s="36"/>
      <c r="G85" s="32"/>
      <c r="H85" s="58"/>
      <c r="I85" s="59"/>
      <c r="J85" s="59"/>
      <c r="K85" s="59"/>
      <c r="L85" s="64"/>
      <c r="M85" s="65"/>
      <c r="N85" s="59"/>
      <c r="O85" s="59"/>
      <c r="P85" s="64"/>
      <c r="Q85" s="65"/>
      <c r="R85" s="59"/>
      <c r="S85" s="59"/>
      <c r="T85" s="31"/>
      <c r="U85" s="32"/>
      <c r="V85" s="32"/>
      <c r="W85" s="32"/>
      <c r="X85" s="32"/>
      <c r="Y85" s="32"/>
      <c r="Z85" s="31"/>
      <c r="AA85" s="31"/>
      <c r="AB85" s="73"/>
      <c r="AC85" s="73"/>
      <c r="AD85" s="32"/>
      <c r="AE85" s="32"/>
      <c r="AF85" s="31"/>
      <c r="AG85" s="32"/>
      <c r="AH85" s="57"/>
      <c r="AI85" s="32">
        <f>AH85*0.88</f>
        <v>0</v>
      </c>
      <c r="AJ85" s="54">
        <f>AH85-AI85</f>
        <v>0</v>
      </c>
      <c r="AK85" s="12"/>
      <c r="AL85" s="12"/>
    </row>
    <row r="86" spans="1:38" s="44" customFormat="1" ht="44.25" customHeight="1">
      <c r="A86" s="29">
        <v>29</v>
      </c>
      <c r="B86" s="71" t="s">
        <v>185</v>
      </c>
      <c r="C86" s="30" t="s">
        <v>29</v>
      </c>
      <c r="D86" s="30"/>
      <c r="E86" s="36">
        <v>2.2000000000000002</v>
      </c>
      <c r="F86" s="36"/>
      <c r="G86" s="32">
        <f>E86*30000</f>
        <v>66000</v>
      </c>
      <c r="H86" s="58"/>
      <c r="I86" s="59"/>
      <c r="J86" s="59"/>
      <c r="K86" s="59"/>
      <c r="L86" s="64"/>
      <c r="M86" s="65"/>
      <c r="N86" s="59"/>
      <c r="O86" s="59"/>
      <c r="P86" s="64"/>
      <c r="Q86" s="65"/>
      <c r="R86" s="59"/>
      <c r="S86" s="59"/>
      <c r="T86" s="31"/>
      <c r="U86" s="32"/>
      <c r="V86" s="32"/>
      <c r="W86" s="32"/>
      <c r="X86" s="32"/>
      <c r="Y86" s="32"/>
      <c r="Z86" s="31"/>
      <c r="AA86" s="31"/>
      <c r="AB86" s="73"/>
      <c r="AC86" s="73"/>
      <c r="AD86" s="32"/>
      <c r="AE86" s="32"/>
      <c r="AF86" s="31">
        <f>E86</f>
        <v>2.2000000000000002</v>
      </c>
      <c r="AG86" s="32"/>
      <c r="AH86" s="57">
        <f>G86</f>
        <v>66000</v>
      </c>
      <c r="AI86" s="32">
        <f>AH86*0.88</f>
        <v>58080</v>
      </c>
      <c r="AJ86" s="54">
        <f>AH86-AI86</f>
        <v>7920</v>
      </c>
      <c r="AK86" s="12"/>
      <c r="AL86" s="12"/>
    </row>
    <row r="87" spans="1:38" s="44" customFormat="1" ht="29.25" customHeight="1">
      <c r="A87" s="72"/>
      <c r="B87" s="53" t="s">
        <v>51</v>
      </c>
      <c r="C87" s="30"/>
      <c r="D87" s="30"/>
      <c r="E87" s="73">
        <f>SUM(E84:E86)</f>
        <v>6.3</v>
      </c>
      <c r="F87" s="32"/>
      <c r="G87" s="73">
        <f>SUM(G84:G86)</f>
        <v>194306.87396</v>
      </c>
      <c r="H87" s="58"/>
      <c r="I87" s="59"/>
      <c r="J87" s="59"/>
      <c r="K87" s="59"/>
      <c r="L87" s="64"/>
      <c r="M87" s="65"/>
      <c r="N87" s="59"/>
      <c r="O87" s="59"/>
      <c r="P87" s="64"/>
      <c r="Q87" s="65"/>
      <c r="R87" s="59"/>
      <c r="S87" s="59"/>
      <c r="T87" s="31"/>
      <c r="U87" s="32"/>
      <c r="V87" s="32"/>
      <c r="W87" s="32"/>
      <c r="X87" s="32"/>
      <c r="Y87" s="32"/>
      <c r="Z87" s="73">
        <f>SUM(Z84:Z84)</f>
        <v>4.0999999999999996</v>
      </c>
      <c r="AA87" s="36"/>
      <c r="AB87" s="73">
        <f>SUM(AB84:AB84)</f>
        <v>128306.87396</v>
      </c>
      <c r="AC87" s="73">
        <f>SUM(AC84:AC84)</f>
        <v>120608.45967</v>
      </c>
      <c r="AD87" s="73">
        <f>SUM(AD84:AD84)</f>
        <v>7698.4142900000006</v>
      </c>
      <c r="AE87" s="32"/>
      <c r="AF87" s="31">
        <f>SUM(AF85:AF86)</f>
        <v>2.2000000000000002</v>
      </c>
      <c r="AG87" s="32"/>
      <c r="AH87" s="57">
        <f>SUM(AH85:AH86)</f>
        <v>66000</v>
      </c>
      <c r="AI87" s="32">
        <f>SUM(AI85:AI86)</f>
        <v>58080</v>
      </c>
      <c r="AJ87" s="54">
        <f>SUM(AJ85:AJ86)</f>
        <v>7920</v>
      </c>
      <c r="AK87" s="12"/>
      <c r="AL87" s="12"/>
    </row>
    <row r="88" spans="1:38" s="44" customFormat="1" ht="24" customHeight="1">
      <c r="A88" s="66"/>
      <c r="B88" s="53" t="s">
        <v>52</v>
      </c>
      <c r="C88" s="30"/>
      <c r="D88" s="30"/>
      <c r="E88" s="73">
        <f>T88+Z88</f>
        <v>14.340999999999999</v>
      </c>
      <c r="F88" s="36"/>
      <c r="G88" s="32">
        <f>V88+AB88</f>
        <v>289687.90000000002</v>
      </c>
      <c r="H88" s="58"/>
      <c r="I88" s="59"/>
      <c r="J88" s="59"/>
      <c r="K88" s="59"/>
      <c r="L88" s="64"/>
      <c r="M88" s="65"/>
      <c r="N88" s="59"/>
      <c r="O88" s="59"/>
      <c r="P88" s="64"/>
      <c r="Q88" s="65"/>
      <c r="R88" s="59"/>
      <c r="S88" s="59"/>
      <c r="T88" s="32">
        <v>9.5839999999999996</v>
      </c>
      <c r="U88" s="32"/>
      <c r="V88" s="32">
        <v>196556</v>
      </c>
      <c r="W88" s="32"/>
      <c r="X88" s="32">
        <f>V88</f>
        <v>196556</v>
      </c>
      <c r="Y88" s="32"/>
      <c r="Z88" s="73">
        <v>4.7569999999999997</v>
      </c>
      <c r="AA88" s="36"/>
      <c r="AB88" s="73">
        <v>93131.9</v>
      </c>
      <c r="AC88" s="73"/>
      <c r="AD88" s="73">
        <f>AB88</f>
        <v>93131.9</v>
      </c>
      <c r="AE88" s="32"/>
      <c r="AF88" s="32"/>
      <c r="AG88" s="32"/>
      <c r="AH88" s="57"/>
      <c r="AI88" s="32"/>
      <c r="AJ88" s="54"/>
      <c r="AK88" s="12"/>
      <c r="AL88" s="12"/>
    </row>
    <row r="89" spans="1:38" s="44" customFormat="1" ht="33.75" customHeight="1">
      <c r="A89" s="151" t="s">
        <v>97</v>
      </c>
      <c r="B89" s="151"/>
      <c r="C89" s="30"/>
      <c r="D89" s="30"/>
      <c r="E89" s="26">
        <f>SUM(E87:E88)</f>
        <v>20.640999999999998</v>
      </c>
      <c r="F89" s="26"/>
      <c r="G89" s="26">
        <f>SUM(G87:G88)</f>
        <v>483994.77396000002</v>
      </c>
      <c r="H89" s="63"/>
      <c r="I89" s="45"/>
      <c r="J89" s="45"/>
      <c r="K89" s="45"/>
      <c r="L89" s="63"/>
      <c r="M89" s="45"/>
      <c r="N89" s="45"/>
      <c r="O89" s="45"/>
      <c r="P89" s="26"/>
      <c r="Q89" s="45"/>
      <c r="R89" s="45"/>
      <c r="S89" s="45"/>
      <c r="T89" s="26">
        <f>SUM(T87:T88)</f>
        <v>9.5839999999999996</v>
      </c>
      <c r="U89" s="26"/>
      <c r="V89" s="26">
        <f>SUM(V87:V88)</f>
        <v>196556</v>
      </c>
      <c r="W89" s="26"/>
      <c r="X89" s="26">
        <f>SUM(X87:X88)</f>
        <v>196556</v>
      </c>
      <c r="Y89" s="26"/>
      <c r="Z89" s="26">
        <f>SUM(Z87:Z88)</f>
        <v>8.8569999999999993</v>
      </c>
      <c r="AA89" s="26"/>
      <c r="AB89" s="26">
        <f>SUM(AB87:AB88)</f>
        <v>221438.77395999999</v>
      </c>
      <c r="AC89" s="26">
        <f>SUM(AC87:AC88)</f>
        <v>120608.45967</v>
      </c>
      <c r="AD89" s="26">
        <f>SUM(AD87:AD88)</f>
        <v>100830.31428999999</v>
      </c>
      <c r="AE89" s="26"/>
      <c r="AF89" s="26">
        <f>SUM(AF87:AF88)</f>
        <v>2.2000000000000002</v>
      </c>
      <c r="AG89" s="26"/>
      <c r="AH89" s="26">
        <f>SUM(AH87:AH88)</f>
        <v>66000</v>
      </c>
      <c r="AI89" s="26">
        <f>SUM(AI87:AI88)</f>
        <v>58080</v>
      </c>
      <c r="AJ89" s="27">
        <f>SUM(AJ87:AJ88)</f>
        <v>7920</v>
      </c>
      <c r="AK89" s="12"/>
      <c r="AL89" s="12"/>
    </row>
    <row r="90" spans="1:38" s="44" customFormat="1" ht="26.25" customHeight="1">
      <c r="A90" s="144" t="s">
        <v>98</v>
      </c>
      <c r="B90" s="144"/>
      <c r="C90" s="150"/>
      <c r="D90" s="150"/>
      <c r="E90" s="150"/>
      <c r="F90" s="56"/>
      <c r="G90" s="26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2"/>
      <c r="V90" s="32"/>
      <c r="W90" s="32"/>
      <c r="X90" s="32"/>
      <c r="Y90" s="32"/>
      <c r="Z90" s="32"/>
      <c r="AA90" s="30"/>
      <c r="AB90" s="32"/>
      <c r="AC90" s="32"/>
      <c r="AD90" s="32"/>
      <c r="AE90" s="32"/>
      <c r="AF90" s="32"/>
      <c r="AG90" s="32"/>
      <c r="AH90" s="57"/>
      <c r="AI90" s="32"/>
      <c r="AJ90" s="54"/>
      <c r="AK90" s="12"/>
      <c r="AL90" s="12"/>
    </row>
    <row r="91" spans="1:38" s="44" customFormat="1" ht="46.5" customHeight="1">
      <c r="A91" s="29">
        <v>30</v>
      </c>
      <c r="B91" s="74" t="s">
        <v>99</v>
      </c>
      <c r="C91" s="30" t="s">
        <v>29</v>
      </c>
      <c r="D91" s="56"/>
      <c r="E91" s="36">
        <v>3.9</v>
      </c>
      <c r="F91" s="56"/>
      <c r="G91" s="32">
        <v>76711.600330000001</v>
      </c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6">
        <f>E91</f>
        <v>3.9</v>
      </c>
      <c r="U91" s="32"/>
      <c r="V91" s="32">
        <f>G91</f>
        <v>76711.600330000001</v>
      </c>
      <c r="W91" s="32"/>
      <c r="X91" s="32">
        <f>V91</f>
        <v>76711.600330000001</v>
      </c>
      <c r="Y91" s="32"/>
      <c r="Z91" s="32"/>
      <c r="AA91" s="30"/>
      <c r="AB91" s="32"/>
      <c r="AC91" s="32"/>
      <c r="AD91" s="32"/>
      <c r="AE91" s="32"/>
      <c r="AF91" s="32"/>
      <c r="AG91" s="32"/>
      <c r="AH91" s="57"/>
      <c r="AI91" s="32"/>
      <c r="AJ91" s="54"/>
      <c r="AK91" s="12"/>
      <c r="AL91" s="12"/>
    </row>
    <row r="92" spans="1:38" s="44" customFormat="1" ht="27" customHeight="1">
      <c r="A92" s="29">
        <v>31</v>
      </c>
      <c r="B92" s="74" t="s">
        <v>100</v>
      </c>
      <c r="C92" s="30" t="s">
        <v>29</v>
      </c>
      <c r="D92" s="56"/>
      <c r="E92" s="36">
        <v>4.2</v>
      </c>
      <c r="F92" s="56"/>
      <c r="G92" s="32">
        <v>131455.49917</v>
      </c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6"/>
      <c r="U92" s="32"/>
      <c r="V92" s="32"/>
      <c r="W92" s="32"/>
      <c r="X92" s="32"/>
      <c r="Y92" s="32"/>
      <c r="Z92" s="31">
        <v>4.2</v>
      </c>
      <c r="AA92" s="30"/>
      <c r="AB92" s="32">
        <f>G92</f>
        <v>131455.49917</v>
      </c>
      <c r="AC92" s="32">
        <v>123568.16731999999</v>
      </c>
      <c r="AD92" s="32">
        <f>AB92-AC92</f>
        <v>7887.3318500000023</v>
      </c>
      <c r="AE92" s="32"/>
      <c r="AF92" s="32"/>
      <c r="AG92" s="32"/>
      <c r="AH92" s="57"/>
      <c r="AI92" s="32"/>
      <c r="AJ92" s="54"/>
      <c r="AK92" s="12"/>
      <c r="AL92" s="12"/>
    </row>
    <row r="93" spans="1:38" s="44" customFormat="1" ht="44.25" customHeight="1">
      <c r="A93" s="29">
        <v>32</v>
      </c>
      <c r="B93" s="74" t="s">
        <v>101</v>
      </c>
      <c r="C93" s="30" t="s">
        <v>29</v>
      </c>
      <c r="D93" s="56"/>
      <c r="E93" s="36">
        <v>1.2</v>
      </c>
      <c r="F93" s="56"/>
      <c r="G93" s="32">
        <f>E93*30000+7000</f>
        <v>43000</v>
      </c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6"/>
      <c r="U93" s="32"/>
      <c r="V93" s="32"/>
      <c r="W93" s="32"/>
      <c r="X93" s="32"/>
      <c r="Y93" s="32"/>
      <c r="Z93" s="31"/>
      <c r="AA93" s="30"/>
      <c r="AB93" s="32"/>
      <c r="AC93" s="32"/>
      <c r="AD93" s="32"/>
      <c r="AE93" s="32"/>
      <c r="AF93" s="31">
        <f>E93</f>
        <v>1.2</v>
      </c>
      <c r="AG93" s="32"/>
      <c r="AH93" s="57">
        <f>G93</f>
        <v>43000</v>
      </c>
      <c r="AI93" s="32">
        <f>AH93*0.88</f>
        <v>37840</v>
      </c>
      <c r="AJ93" s="54">
        <f>AH93-AI93</f>
        <v>5160</v>
      </c>
      <c r="AK93" s="12"/>
      <c r="AL93" s="12"/>
    </row>
    <row r="94" spans="1:38" s="44" customFormat="1" ht="42.75" customHeight="1">
      <c r="A94" s="29">
        <v>33</v>
      </c>
      <c r="B94" s="74" t="s">
        <v>102</v>
      </c>
      <c r="C94" s="30" t="s">
        <v>32</v>
      </c>
      <c r="D94" s="56"/>
      <c r="E94" s="36">
        <v>2.1</v>
      </c>
      <c r="F94" s="56"/>
      <c r="G94" s="32">
        <f>E94*30000+3000</f>
        <v>66000</v>
      </c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6"/>
      <c r="U94" s="32"/>
      <c r="V94" s="32"/>
      <c r="W94" s="32"/>
      <c r="X94" s="32"/>
      <c r="Y94" s="32"/>
      <c r="Z94" s="31"/>
      <c r="AA94" s="30"/>
      <c r="AB94" s="32"/>
      <c r="AC94" s="32"/>
      <c r="AD94" s="32"/>
      <c r="AE94" s="32"/>
      <c r="AF94" s="31">
        <f>E94</f>
        <v>2.1</v>
      </c>
      <c r="AG94" s="32"/>
      <c r="AH94" s="57">
        <f>G94</f>
        <v>66000</v>
      </c>
      <c r="AI94" s="32">
        <f>AH94*0.88</f>
        <v>58080</v>
      </c>
      <c r="AJ94" s="54">
        <f>AH94-AI94</f>
        <v>7920</v>
      </c>
      <c r="AK94" s="12"/>
      <c r="AL94" s="12"/>
    </row>
    <row r="95" spans="1:38" s="44" customFormat="1" ht="27.75" customHeight="1">
      <c r="A95" s="151" t="s">
        <v>103</v>
      </c>
      <c r="B95" s="151"/>
      <c r="C95" s="30"/>
      <c r="D95" s="30"/>
      <c r="E95" s="63">
        <f>SUM(E91:E94)</f>
        <v>11.399999999999999</v>
      </c>
      <c r="F95" s="32"/>
      <c r="G95" s="26">
        <f>SUM(G91:G94)</f>
        <v>317167.09950000001</v>
      </c>
      <c r="H95" s="63"/>
      <c r="I95" s="45"/>
      <c r="J95" s="45"/>
      <c r="K95" s="45"/>
      <c r="L95" s="63"/>
      <c r="M95" s="45"/>
      <c r="N95" s="45"/>
      <c r="O95" s="45"/>
      <c r="P95" s="63"/>
      <c r="Q95" s="45"/>
      <c r="R95" s="45"/>
      <c r="S95" s="45"/>
      <c r="T95" s="63">
        <f>SUM(T91)</f>
        <v>3.9</v>
      </c>
      <c r="U95" s="63"/>
      <c r="V95" s="26">
        <f>SUM(V91)</f>
        <v>76711.600330000001</v>
      </c>
      <c r="W95" s="26"/>
      <c r="X95" s="26">
        <f>SUM(X91)</f>
        <v>76711.600330000001</v>
      </c>
      <c r="Y95" s="26"/>
      <c r="Z95" s="63">
        <f>SUM(Z91:Z92)</f>
        <v>4.2</v>
      </c>
      <c r="AA95" s="63"/>
      <c r="AB95" s="26">
        <f>SUM(AB91:AB92)</f>
        <v>131455.49917</v>
      </c>
      <c r="AC95" s="26">
        <f>SUM(AC91:AC92)</f>
        <v>123568.16731999999</v>
      </c>
      <c r="AD95" s="26">
        <f>SUM(AD91:AD92)</f>
        <v>7887.3318500000023</v>
      </c>
      <c r="AE95" s="26"/>
      <c r="AF95" s="26">
        <f>SUM(AF93:AF94)</f>
        <v>3.3</v>
      </c>
      <c r="AG95" s="26"/>
      <c r="AH95" s="47">
        <f>SUM(AH93:AH94)</f>
        <v>109000</v>
      </c>
      <c r="AI95" s="26">
        <f>SUM(AI93:AI94)</f>
        <v>95920</v>
      </c>
      <c r="AJ95" s="27">
        <f>SUM(AJ93:AJ94)</f>
        <v>13080</v>
      </c>
      <c r="AK95" s="12"/>
      <c r="AL95" s="12"/>
    </row>
    <row r="96" spans="1:38" s="44" customFormat="1" ht="24.75" customHeight="1">
      <c r="A96" s="144" t="s">
        <v>30</v>
      </c>
      <c r="B96" s="144"/>
      <c r="C96" s="150"/>
      <c r="D96" s="150"/>
      <c r="E96" s="150"/>
      <c r="F96" s="56"/>
      <c r="G96" s="26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2"/>
      <c r="V96" s="32"/>
      <c r="W96" s="32"/>
      <c r="X96" s="32"/>
      <c r="Y96" s="32"/>
      <c r="Z96" s="32"/>
      <c r="AA96" s="30"/>
      <c r="AB96" s="32"/>
      <c r="AC96" s="32"/>
      <c r="AD96" s="32"/>
      <c r="AE96" s="32"/>
      <c r="AF96" s="32"/>
      <c r="AG96" s="32"/>
      <c r="AH96" s="57"/>
      <c r="AI96" s="32"/>
      <c r="AJ96" s="54"/>
      <c r="AK96" s="12"/>
      <c r="AL96" s="12"/>
    </row>
    <row r="97" spans="1:39" s="44" customFormat="1" ht="44.25" customHeight="1">
      <c r="A97" s="29">
        <v>34</v>
      </c>
      <c r="B97" s="74" t="s">
        <v>104</v>
      </c>
      <c r="C97" s="30" t="s">
        <v>29</v>
      </c>
      <c r="D97" s="30"/>
      <c r="E97" s="36">
        <v>4.4000000000000004</v>
      </c>
      <c r="F97" s="58"/>
      <c r="G97" s="32">
        <v>118184.28718</v>
      </c>
      <c r="H97" s="58"/>
      <c r="I97" s="59"/>
      <c r="J97" s="59"/>
      <c r="K97" s="59"/>
      <c r="L97" s="64"/>
      <c r="M97" s="65"/>
      <c r="N97" s="59"/>
      <c r="O97" s="59"/>
      <c r="P97" s="31"/>
      <c r="Q97" s="32"/>
      <c r="R97" s="59"/>
      <c r="S97" s="59"/>
      <c r="T97" s="31"/>
      <c r="U97" s="32"/>
      <c r="V97" s="32"/>
      <c r="W97" s="32"/>
      <c r="X97" s="32"/>
      <c r="Y97" s="32"/>
      <c r="Z97" s="58">
        <v>4.4000000000000004</v>
      </c>
      <c r="AA97" s="32"/>
      <c r="AB97" s="32">
        <f>G97</f>
        <v>118184.28718</v>
      </c>
      <c r="AC97" s="32">
        <v>111093.22824</v>
      </c>
      <c r="AD97" s="32">
        <f>AB97-AC97</f>
        <v>7091.0589400000026</v>
      </c>
      <c r="AE97" s="32"/>
      <c r="AF97" s="32"/>
      <c r="AG97" s="32"/>
      <c r="AH97" s="57"/>
      <c r="AI97" s="32"/>
      <c r="AJ97" s="54"/>
      <c r="AK97" s="12"/>
      <c r="AL97" s="12"/>
    </row>
    <row r="98" spans="1:39" s="44" customFormat="1" ht="63" customHeight="1">
      <c r="A98" s="29">
        <v>35</v>
      </c>
      <c r="B98" s="74" t="s">
        <v>105</v>
      </c>
      <c r="C98" s="30" t="s">
        <v>29</v>
      </c>
      <c r="D98" s="30"/>
      <c r="E98" s="36">
        <v>5.4</v>
      </c>
      <c r="F98" s="58"/>
      <c r="G98" s="32">
        <f>162000-42000-6890</f>
        <v>113110</v>
      </c>
      <c r="H98" s="58"/>
      <c r="I98" s="59"/>
      <c r="J98" s="59"/>
      <c r="K98" s="59"/>
      <c r="L98" s="64"/>
      <c r="M98" s="65"/>
      <c r="N98" s="59"/>
      <c r="O98" s="59"/>
      <c r="P98" s="31"/>
      <c r="Q98" s="32"/>
      <c r="R98" s="59"/>
      <c r="S98" s="59"/>
      <c r="T98" s="31"/>
      <c r="U98" s="32"/>
      <c r="V98" s="32"/>
      <c r="W98" s="32"/>
      <c r="X98" s="32"/>
      <c r="Y98" s="32"/>
      <c r="Z98" s="58"/>
      <c r="AA98" s="32"/>
      <c r="AB98" s="32"/>
      <c r="AC98" s="32"/>
      <c r="AD98" s="32"/>
      <c r="AE98" s="32"/>
      <c r="AF98" s="31">
        <f>E98</f>
        <v>5.4</v>
      </c>
      <c r="AG98" s="32"/>
      <c r="AH98" s="57">
        <f>G98</f>
        <v>113110</v>
      </c>
      <c r="AI98" s="32">
        <f>AH98*0.88</f>
        <v>99536.8</v>
      </c>
      <c r="AJ98" s="54">
        <f>AH98-AI98</f>
        <v>13573.199999999997</v>
      </c>
      <c r="AK98" s="12"/>
      <c r="AL98" s="12"/>
    </row>
    <row r="99" spans="1:39" s="44" customFormat="1" ht="27" customHeight="1">
      <c r="A99" s="151" t="s">
        <v>106</v>
      </c>
      <c r="B99" s="151"/>
      <c r="C99" s="30"/>
      <c r="D99" s="30"/>
      <c r="E99" s="63">
        <f>SUM(E97:E98)</f>
        <v>9.8000000000000007</v>
      </c>
      <c r="F99" s="63"/>
      <c r="G99" s="26">
        <f>SUM(G97:G98)</f>
        <v>231294.28717999998</v>
      </c>
      <c r="H99" s="63" t="e">
        <f>SUM(#REF!)</f>
        <v>#REF!</v>
      </c>
      <c r="I99" s="45" t="e">
        <f>SUM(#REF!)</f>
        <v>#REF!</v>
      </c>
      <c r="J99" s="45" t="e">
        <f>SUM(#REF!)</f>
        <v>#REF!</v>
      </c>
      <c r="K99" s="45"/>
      <c r="L99" s="63" t="e">
        <f>SUM(#REF!)</f>
        <v>#REF!</v>
      </c>
      <c r="M99" s="45" t="e">
        <f>SUM(#REF!)</f>
        <v>#REF!</v>
      </c>
      <c r="N99" s="45" t="e">
        <f>SUM(#REF!)</f>
        <v>#REF!</v>
      </c>
      <c r="O99" s="45" t="e">
        <f>SUM(#REF!)</f>
        <v>#REF!</v>
      </c>
      <c r="P99" s="63" t="e">
        <f>SUM(#REF!)</f>
        <v>#REF!</v>
      </c>
      <c r="Q99" s="45" t="e">
        <f>SUM(#REF!)</f>
        <v>#REF!</v>
      </c>
      <c r="R99" s="45" t="e">
        <f>SUM(#REF!)</f>
        <v>#REF!</v>
      </c>
      <c r="S99" s="45"/>
      <c r="T99" s="63"/>
      <c r="U99" s="26"/>
      <c r="V99" s="26"/>
      <c r="W99" s="26"/>
      <c r="X99" s="26"/>
      <c r="Y99" s="26"/>
      <c r="Z99" s="63">
        <f>SUM(Z97:Z97)</f>
        <v>4.4000000000000004</v>
      </c>
      <c r="AA99" s="63"/>
      <c r="AB99" s="26">
        <f>SUM(AB97:AB97)</f>
        <v>118184.28718</v>
      </c>
      <c r="AC99" s="26">
        <f>SUM(AC97:AC97)</f>
        <v>111093.22824</v>
      </c>
      <c r="AD99" s="26">
        <f>SUM(AD97:AD97)</f>
        <v>7091.0589400000026</v>
      </c>
      <c r="AE99" s="26"/>
      <c r="AF99" s="26">
        <f>SUM(AF98)</f>
        <v>5.4</v>
      </c>
      <c r="AG99" s="26"/>
      <c r="AH99" s="26">
        <f>SUM(AH98)</f>
        <v>113110</v>
      </c>
      <c r="AI99" s="26">
        <f>SUM(AI98)</f>
        <v>99536.8</v>
      </c>
      <c r="AJ99" s="27">
        <f>SUM(AJ98)</f>
        <v>13573.199999999997</v>
      </c>
      <c r="AK99" s="12"/>
      <c r="AL99" s="12"/>
    </row>
    <row r="100" spans="1:39" s="44" customFormat="1" ht="30" customHeight="1">
      <c r="A100" s="55"/>
      <c r="B100" s="75" t="s">
        <v>107</v>
      </c>
      <c r="C100" s="30"/>
      <c r="D100" s="30"/>
      <c r="E100" s="26"/>
      <c r="F100" s="26"/>
      <c r="G100" s="26"/>
      <c r="H100" s="63"/>
      <c r="I100" s="45"/>
      <c r="J100" s="45"/>
      <c r="K100" s="45"/>
      <c r="L100" s="63"/>
      <c r="M100" s="45"/>
      <c r="N100" s="45"/>
      <c r="O100" s="45"/>
      <c r="P100" s="26"/>
      <c r="Q100" s="45"/>
      <c r="R100" s="45"/>
      <c r="S100" s="45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47"/>
      <c r="AI100" s="26"/>
      <c r="AJ100" s="27"/>
      <c r="AK100" s="12"/>
      <c r="AL100" s="12"/>
    </row>
    <row r="101" spans="1:39" s="44" customFormat="1" ht="45" customHeight="1">
      <c r="A101" s="29">
        <v>36</v>
      </c>
      <c r="B101" s="74" t="s">
        <v>108</v>
      </c>
      <c r="C101" s="30" t="s">
        <v>29</v>
      </c>
      <c r="D101" s="30"/>
      <c r="E101" s="36">
        <v>3.1</v>
      </c>
      <c r="F101" s="26"/>
      <c r="G101" s="32">
        <v>85300.800000000003</v>
      </c>
      <c r="H101" s="63"/>
      <c r="I101" s="45"/>
      <c r="J101" s="45"/>
      <c r="K101" s="45"/>
      <c r="L101" s="63"/>
      <c r="M101" s="45"/>
      <c r="N101" s="45"/>
      <c r="O101" s="45"/>
      <c r="P101" s="26"/>
      <c r="Q101" s="45"/>
      <c r="R101" s="45"/>
      <c r="S101" s="45"/>
      <c r="T101" s="26"/>
      <c r="U101" s="26"/>
      <c r="V101" s="26"/>
      <c r="W101" s="26"/>
      <c r="X101" s="26"/>
      <c r="Y101" s="26"/>
      <c r="Z101" s="31">
        <v>3.1</v>
      </c>
      <c r="AA101" s="26"/>
      <c r="AB101" s="32">
        <f>G101</f>
        <v>85300.800000000003</v>
      </c>
      <c r="AC101" s="32">
        <v>80182.750769999999</v>
      </c>
      <c r="AD101" s="32">
        <f>AB101-AC101</f>
        <v>5118.0492300000042</v>
      </c>
      <c r="AE101" s="26"/>
      <c r="AF101" s="26"/>
      <c r="AG101" s="26"/>
      <c r="AH101" s="47"/>
      <c r="AI101" s="26"/>
      <c r="AJ101" s="27"/>
      <c r="AK101" s="12"/>
      <c r="AL101" s="12"/>
    </row>
    <row r="102" spans="1:39" s="44" customFormat="1" ht="32.25" customHeight="1">
      <c r="A102" s="151" t="s">
        <v>109</v>
      </c>
      <c r="B102" s="151"/>
      <c r="C102" s="30"/>
      <c r="D102" s="30"/>
      <c r="E102" s="76">
        <f>E101</f>
        <v>3.1</v>
      </c>
      <c r="F102" s="26"/>
      <c r="G102" s="26">
        <f>G101</f>
        <v>85300.800000000003</v>
      </c>
      <c r="H102" s="63"/>
      <c r="I102" s="45"/>
      <c r="J102" s="45"/>
      <c r="K102" s="45"/>
      <c r="L102" s="63"/>
      <c r="M102" s="45"/>
      <c r="N102" s="45"/>
      <c r="O102" s="45"/>
      <c r="P102" s="26"/>
      <c r="Q102" s="45"/>
      <c r="R102" s="45"/>
      <c r="S102" s="45"/>
      <c r="T102" s="26"/>
      <c r="U102" s="26"/>
      <c r="V102" s="26"/>
      <c r="W102" s="26"/>
      <c r="X102" s="26"/>
      <c r="Y102" s="26"/>
      <c r="Z102" s="76">
        <f>Z101</f>
        <v>3.1</v>
      </c>
      <c r="AA102" s="26"/>
      <c r="AB102" s="26">
        <f>AB101</f>
        <v>85300.800000000003</v>
      </c>
      <c r="AC102" s="26">
        <f>AC101</f>
        <v>80182.750769999999</v>
      </c>
      <c r="AD102" s="26">
        <f>AD101</f>
        <v>5118.0492300000042</v>
      </c>
      <c r="AE102" s="26"/>
      <c r="AF102" s="26"/>
      <c r="AG102" s="26"/>
      <c r="AH102" s="47"/>
      <c r="AI102" s="26"/>
      <c r="AJ102" s="27"/>
      <c r="AK102" s="12"/>
      <c r="AL102" s="12"/>
    </row>
    <row r="103" spans="1:39" s="44" customFormat="1" ht="32.25" customHeight="1">
      <c r="A103" s="144" t="s">
        <v>110</v>
      </c>
      <c r="B103" s="144"/>
      <c r="C103" s="30"/>
      <c r="D103" s="30"/>
      <c r="E103" s="76"/>
      <c r="F103" s="26"/>
      <c r="G103" s="26"/>
      <c r="H103" s="63"/>
      <c r="I103" s="45"/>
      <c r="J103" s="45"/>
      <c r="K103" s="45"/>
      <c r="L103" s="63"/>
      <c r="M103" s="45"/>
      <c r="N103" s="45"/>
      <c r="O103" s="45"/>
      <c r="P103" s="26"/>
      <c r="Q103" s="45"/>
      <c r="R103" s="45"/>
      <c r="S103" s="45"/>
      <c r="T103" s="26"/>
      <c r="U103" s="26"/>
      <c r="V103" s="26"/>
      <c r="W103" s="26"/>
      <c r="X103" s="26"/>
      <c r="Y103" s="26"/>
      <c r="Z103" s="76"/>
      <c r="AA103" s="26"/>
      <c r="AB103" s="26"/>
      <c r="AC103" s="26"/>
      <c r="AD103" s="26"/>
      <c r="AE103" s="26"/>
      <c r="AF103" s="26"/>
      <c r="AG103" s="26"/>
      <c r="AH103" s="47"/>
      <c r="AI103" s="26"/>
      <c r="AJ103" s="27"/>
      <c r="AK103" s="12"/>
      <c r="AL103" s="12"/>
    </row>
    <row r="104" spans="1:39" s="44" customFormat="1" ht="66" customHeight="1">
      <c r="A104" s="29">
        <v>37</v>
      </c>
      <c r="B104" s="74" t="s">
        <v>199</v>
      </c>
      <c r="C104" s="30" t="s">
        <v>29</v>
      </c>
      <c r="D104" s="30"/>
      <c r="E104" s="36">
        <v>13.75</v>
      </c>
      <c r="F104" s="26"/>
      <c r="G104" s="32">
        <f>V104+AB104</f>
        <v>323992.47898999997</v>
      </c>
      <c r="H104" s="63"/>
      <c r="I104" s="45"/>
      <c r="J104" s="45"/>
      <c r="K104" s="45"/>
      <c r="L104" s="63"/>
      <c r="M104" s="45"/>
      <c r="N104" s="45"/>
      <c r="O104" s="45"/>
      <c r="P104" s="26"/>
      <c r="Q104" s="45"/>
      <c r="R104" s="45"/>
      <c r="S104" s="45"/>
      <c r="T104" s="26"/>
      <c r="U104" s="26"/>
      <c r="V104" s="32">
        <v>150000</v>
      </c>
      <c r="W104" s="26"/>
      <c r="X104" s="32">
        <f>V104</f>
        <v>150000</v>
      </c>
      <c r="Y104" s="26"/>
      <c r="Z104" s="36">
        <f>E104</f>
        <v>13.75</v>
      </c>
      <c r="AA104" s="26"/>
      <c r="AB104" s="32">
        <v>173992.47899</v>
      </c>
      <c r="AC104" s="32">
        <v>163552.92773</v>
      </c>
      <c r="AD104" s="32">
        <f>AB104-AC104</f>
        <v>10439.551260000007</v>
      </c>
      <c r="AE104" s="26"/>
      <c r="AF104" s="26"/>
      <c r="AG104" s="26"/>
      <c r="AH104" s="47"/>
      <c r="AI104" s="26"/>
      <c r="AJ104" s="27"/>
      <c r="AK104" s="12"/>
      <c r="AL104" s="12"/>
    </row>
    <row r="105" spans="1:39" s="44" customFormat="1" ht="43.5" customHeight="1">
      <c r="A105" s="29">
        <v>38</v>
      </c>
      <c r="B105" s="74" t="s">
        <v>111</v>
      </c>
      <c r="C105" s="30" t="s">
        <v>29</v>
      </c>
      <c r="D105" s="30"/>
      <c r="E105" s="36">
        <v>2.226</v>
      </c>
      <c r="F105" s="26"/>
      <c r="G105" s="32">
        <v>60464.042419999998</v>
      </c>
      <c r="H105" s="63"/>
      <c r="I105" s="45"/>
      <c r="J105" s="45"/>
      <c r="K105" s="45"/>
      <c r="L105" s="63"/>
      <c r="M105" s="45"/>
      <c r="N105" s="45"/>
      <c r="O105" s="45"/>
      <c r="P105" s="26"/>
      <c r="Q105" s="45"/>
      <c r="R105" s="45"/>
      <c r="S105" s="45"/>
      <c r="T105" s="26"/>
      <c r="U105" s="26"/>
      <c r="V105" s="32"/>
      <c r="W105" s="26"/>
      <c r="X105" s="32"/>
      <c r="Y105" s="26"/>
      <c r="Z105" s="36">
        <f>E105</f>
        <v>2.226</v>
      </c>
      <c r="AA105" s="26"/>
      <c r="AB105" s="32">
        <v>60464.042419999998</v>
      </c>
      <c r="AC105" s="32">
        <v>56836.199000000001</v>
      </c>
      <c r="AD105" s="32">
        <f>AB105-AC105</f>
        <v>3627.8434199999974</v>
      </c>
      <c r="AE105" s="26"/>
      <c r="AF105" s="26"/>
      <c r="AG105" s="26"/>
      <c r="AH105" s="47"/>
      <c r="AI105" s="26"/>
      <c r="AJ105" s="27"/>
      <c r="AK105" s="12"/>
      <c r="AL105" s="12"/>
    </row>
    <row r="106" spans="1:39" s="44" customFormat="1" ht="45.75" customHeight="1">
      <c r="A106" s="29">
        <v>39</v>
      </c>
      <c r="B106" s="71" t="s">
        <v>112</v>
      </c>
      <c r="C106" s="30" t="s">
        <v>29</v>
      </c>
      <c r="D106" s="30"/>
      <c r="E106" s="36">
        <v>9.6470000000000002</v>
      </c>
      <c r="F106" s="36"/>
      <c r="G106" s="32">
        <v>261742.54837999999</v>
      </c>
      <c r="H106" s="63"/>
      <c r="I106" s="45"/>
      <c r="J106" s="45"/>
      <c r="K106" s="45"/>
      <c r="L106" s="63"/>
      <c r="M106" s="45"/>
      <c r="N106" s="45"/>
      <c r="O106" s="45"/>
      <c r="P106" s="26"/>
      <c r="Q106" s="45"/>
      <c r="R106" s="45"/>
      <c r="S106" s="45"/>
      <c r="T106" s="26"/>
      <c r="U106" s="26"/>
      <c r="V106" s="32"/>
      <c r="W106" s="26"/>
      <c r="X106" s="32"/>
      <c r="Y106" s="26"/>
      <c r="Z106" s="36"/>
      <c r="AA106" s="26"/>
      <c r="AB106" s="32">
        <v>104834.57850999999</v>
      </c>
      <c r="AC106" s="32">
        <v>98544.502280000001</v>
      </c>
      <c r="AD106" s="32">
        <f>AB106-AC106</f>
        <v>6290.0762299999915</v>
      </c>
      <c r="AE106" s="26"/>
      <c r="AF106" s="31">
        <f>E106</f>
        <v>9.6470000000000002</v>
      </c>
      <c r="AG106" s="32"/>
      <c r="AH106" s="57">
        <f>G106-AB106</f>
        <v>156907.96987</v>
      </c>
      <c r="AI106" s="32">
        <f>AH106*0.88</f>
        <v>138079.01348560001</v>
      </c>
      <c r="AJ106" s="54">
        <f>AH106-AI106</f>
        <v>18828.956384399993</v>
      </c>
      <c r="AK106" s="31"/>
      <c r="AL106" s="32"/>
      <c r="AM106" s="57"/>
    </row>
    <row r="107" spans="1:39" s="44" customFormat="1" ht="42" customHeight="1">
      <c r="A107" s="29">
        <v>40</v>
      </c>
      <c r="B107" s="74" t="s">
        <v>191</v>
      </c>
      <c r="C107" s="30" t="s">
        <v>29</v>
      </c>
      <c r="D107" s="30"/>
      <c r="E107" s="36">
        <f>2.8-0.018</f>
        <v>2.782</v>
      </c>
      <c r="F107" s="26"/>
      <c r="G107" s="32">
        <f>2.8*30000+4000</f>
        <v>88000</v>
      </c>
      <c r="H107" s="63"/>
      <c r="I107" s="45"/>
      <c r="J107" s="45"/>
      <c r="K107" s="45"/>
      <c r="L107" s="63"/>
      <c r="M107" s="45"/>
      <c r="N107" s="45"/>
      <c r="O107" s="45"/>
      <c r="P107" s="26"/>
      <c r="Q107" s="45"/>
      <c r="R107" s="45"/>
      <c r="S107" s="45"/>
      <c r="T107" s="26"/>
      <c r="U107" s="26"/>
      <c r="V107" s="32"/>
      <c r="W107" s="26"/>
      <c r="X107" s="32"/>
      <c r="Y107" s="26"/>
      <c r="Z107" s="36"/>
      <c r="AA107" s="26"/>
      <c r="AB107" s="32"/>
      <c r="AC107" s="32"/>
      <c r="AD107" s="32"/>
      <c r="AE107" s="26"/>
      <c r="AF107" s="31">
        <f>E107</f>
        <v>2.782</v>
      </c>
      <c r="AG107" s="32"/>
      <c r="AH107" s="57">
        <f>G107</f>
        <v>88000</v>
      </c>
      <c r="AI107" s="32">
        <f>AH107*0.88</f>
        <v>77440</v>
      </c>
      <c r="AJ107" s="54">
        <f>AH107-AI107</f>
        <v>10560</v>
      </c>
      <c r="AK107" s="12"/>
      <c r="AL107" s="12"/>
    </row>
    <row r="108" spans="1:39" s="44" customFormat="1" ht="48.75" customHeight="1">
      <c r="A108" s="151" t="s">
        <v>113</v>
      </c>
      <c r="B108" s="151"/>
      <c r="C108" s="151"/>
      <c r="D108" s="30"/>
      <c r="E108" s="76">
        <f>SUM(E104:E107)</f>
        <v>28.404999999999998</v>
      </c>
      <c r="F108" s="32"/>
      <c r="G108" s="26">
        <f>SUM(G104:G107)</f>
        <v>734199.06978999998</v>
      </c>
      <c r="H108" s="63"/>
      <c r="I108" s="45"/>
      <c r="J108" s="45"/>
      <c r="K108" s="45"/>
      <c r="L108" s="63"/>
      <c r="M108" s="45"/>
      <c r="N108" s="45"/>
      <c r="O108" s="45"/>
      <c r="P108" s="26"/>
      <c r="Q108" s="45"/>
      <c r="R108" s="45"/>
      <c r="S108" s="45"/>
      <c r="T108" s="26"/>
      <c r="U108" s="26"/>
      <c r="V108" s="26">
        <f>SUM(V104)</f>
        <v>150000</v>
      </c>
      <c r="W108" s="26"/>
      <c r="X108" s="26">
        <f>SUM(X104)</f>
        <v>150000</v>
      </c>
      <c r="Y108" s="26"/>
      <c r="Z108" s="77">
        <f>SUM(Z104:Z107)</f>
        <v>15.975999999999999</v>
      </c>
      <c r="AA108" s="26"/>
      <c r="AB108" s="26">
        <f>SUM(AB104:AB107)</f>
        <v>339291.09991999995</v>
      </c>
      <c r="AC108" s="26">
        <f>SUM(AC104:AC107)</f>
        <v>318933.62900999998</v>
      </c>
      <c r="AD108" s="26">
        <f>SUM(AD104:AD107)</f>
        <v>20357.470909999996</v>
      </c>
      <c r="AE108" s="26"/>
      <c r="AF108" s="46">
        <f>SUM(AF106:AF107)</f>
        <v>12.429</v>
      </c>
      <c r="AG108" s="26"/>
      <c r="AH108" s="47">
        <f>SUM(AH106:AH107)</f>
        <v>244907.96987</v>
      </c>
      <c r="AI108" s="26">
        <f>SUM(AI106:AI107)</f>
        <v>215519.01348560001</v>
      </c>
      <c r="AJ108" s="27">
        <f>SUM(AJ106:AJ107)</f>
        <v>29388.956384399993</v>
      </c>
      <c r="AK108" s="12"/>
      <c r="AL108" s="12"/>
    </row>
    <row r="109" spans="1:39" s="44" customFormat="1" ht="27" customHeight="1">
      <c r="A109" s="144" t="s">
        <v>114</v>
      </c>
      <c r="B109" s="144"/>
      <c r="C109" s="78"/>
      <c r="D109" s="79"/>
      <c r="E109" s="63"/>
      <c r="F109" s="63"/>
      <c r="G109" s="26"/>
      <c r="H109" s="63"/>
      <c r="I109" s="45"/>
      <c r="J109" s="45"/>
      <c r="K109" s="45"/>
      <c r="L109" s="63"/>
      <c r="M109" s="45"/>
      <c r="N109" s="45"/>
      <c r="O109" s="45"/>
      <c r="P109" s="63"/>
      <c r="Q109" s="45"/>
      <c r="R109" s="45"/>
      <c r="S109" s="45"/>
      <c r="T109" s="63"/>
      <c r="U109" s="26"/>
      <c r="V109" s="26"/>
      <c r="W109" s="26"/>
      <c r="X109" s="26"/>
      <c r="Y109" s="26"/>
      <c r="Z109" s="26"/>
      <c r="AA109" s="63"/>
      <c r="AB109" s="26"/>
      <c r="AC109" s="26"/>
      <c r="AD109" s="26"/>
      <c r="AE109" s="26"/>
      <c r="AF109" s="26"/>
      <c r="AG109" s="26"/>
      <c r="AH109" s="47"/>
      <c r="AI109" s="26"/>
      <c r="AJ109" s="27"/>
      <c r="AK109" s="12"/>
      <c r="AL109" s="12"/>
    </row>
    <row r="110" spans="1:39" s="44" customFormat="1" ht="62.25" customHeight="1">
      <c r="A110" s="29">
        <v>41</v>
      </c>
      <c r="B110" s="74" t="s">
        <v>115</v>
      </c>
      <c r="C110" s="30" t="s">
        <v>29</v>
      </c>
      <c r="D110" s="79"/>
      <c r="E110" s="58">
        <f>3.5+8.3</f>
        <v>11.8</v>
      </c>
      <c r="F110" s="63"/>
      <c r="G110" s="32">
        <f>AB110+AH110</f>
        <v>320326.55614</v>
      </c>
      <c r="H110" s="63"/>
      <c r="I110" s="45"/>
      <c r="J110" s="45"/>
      <c r="K110" s="45"/>
      <c r="L110" s="63"/>
      <c r="M110" s="45"/>
      <c r="N110" s="45"/>
      <c r="O110" s="45"/>
      <c r="P110" s="63"/>
      <c r="Q110" s="45"/>
      <c r="R110" s="45"/>
      <c r="S110" s="45"/>
      <c r="T110" s="63"/>
      <c r="U110" s="26"/>
      <c r="V110" s="26"/>
      <c r="W110" s="26"/>
      <c r="X110" s="26"/>
      <c r="Y110" s="26"/>
      <c r="Z110" s="58">
        <v>3.5</v>
      </c>
      <c r="AA110" s="63"/>
      <c r="AB110" s="32">
        <v>90326.556140000001</v>
      </c>
      <c r="AC110" s="32">
        <v>84906.961460000006</v>
      </c>
      <c r="AD110" s="32">
        <f>AB110-AC110</f>
        <v>5419.5946799999947</v>
      </c>
      <c r="AE110" s="26"/>
      <c r="AF110" s="58">
        <v>8.3000000000000007</v>
      </c>
      <c r="AG110" s="26"/>
      <c r="AH110" s="32">
        <f>AF110*30000-9000-10000</f>
        <v>230000.00000000003</v>
      </c>
      <c r="AI110" s="32">
        <f>AH110*0.88</f>
        <v>202400.00000000003</v>
      </c>
      <c r="AJ110" s="54">
        <f>AH110-AI110</f>
        <v>27600</v>
      </c>
      <c r="AK110" s="12"/>
      <c r="AL110" s="12"/>
    </row>
    <row r="111" spans="1:39" s="44" customFormat="1" ht="46.5" hidden="1" customHeight="1">
      <c r="A111" s="29">
        <v>40</v>
      </c>
      <c r="B111" s="74" t="s">
        <v>116</v>
      </c>
      <c r="C111" s="30" t="s">
        <v>29</v>
      </c>
      <c r="D111" s="79"/>
      <c r="E111" s="58"/>
      <c r="F111" s="63"/>
      <c r="G111" s="32"/>
      <c r="H111" s="63"/>
      <c r="I111" s="45"/>
      <c r="J111" s="45"/>
      <c r="K111" s="45"/>
      <c r="L111" s="63"/>
      <c r="M111" s="45"/>
      <c r="N111" s="45"/>
      <c r="O111" s="45"/>
      <c r="P111" s="63"/>
      <c r="Q111" s="45"/>
      <c r="R111" s="45"/>
      <c r="S111" s="45"/>
      <c r="T111" s="63"/>
      <c r="U111" s="26"/>
      <c r="V111" s="26"/>
      <c r="W111" s="26"/>
      <c r="X111" s="26"/>
      <c r="Y111" s="26"/>
      <c r="Z111" s="58"/>
      <c r="AA111" s="63"/>
      <c r="AB111" s="32"/>
      <c r="AC111" s="32"/>
      <c r="AD111" s="32"/>
      <c r="AE111" s="26"/>
      <c r="AF111" s="58"/>
      <c r="AG111" s="63"/>
      <c r="AH111" s="32"/>
      <c r="AI111" s="32"/>
      <c r="AJ111" s="54"/>
      <c r="AK111" s="12"/>
      <c r="AL111" s="12"/>
    </row>
    <row r="112" spans="1:39" s="44" customFormat="1" ht="27" customHeight="1">
      <c r="A112" s="151" t="s">
        <v>117</v>
      </c>
      <c r="B112" s="151"/>
      <c r="C112" s="30"/>
      <c r="D112" s="30"/>
      <c r="E112" s="76">
        <f>SUM(E110:E111)</f>
        <v>11.8</v>
      </c>
      <c r="F112" s="32"/>
      <c r="G112" s="26">
        <f>SUM(G110:G111)</f>
        <v>320326.55614</v>
      </c>
      <c r="H112" s="63"/>
      <c r="I112" s="45"/>
      <c r="J112" s="45"/>
      <c r="K112" s="45"/>
      <c r="L112" s="63"/>
      <c r="M112" s="45"/>
      <c r="N112" s="45"/>
      <c r="O112" s="45"/>
      <c r="P112" s="26"/>
      <c r="Q112" s="45"/>
      <c r="R112" s="45"/>
      <c r="S112" s="45"/>
      <c r="T112" s="26"/>
      <c r="U112" s="26"/>
      <c r="V112" s="26"/>
      <c r="W112" s="26"/>
      <c r="X112" s="26"/>
      <c r="Y112" s="26"/>
      <c r="Z112" s="76">
        <f>Z110</f>
        <v>3.5</v>
      </c>
      <c r="AA112" s="26"/>
      <c r="AB112" s="26">
        <f>AB110</f>
        <v>90326.556140000001</v>
      </c>
      <c r="AC112" s="26">
        <f>AC110</f>
        <v>84906.961460000006</v>
      </c>
      <c r="AD112" s="26">
        <f>AD110</f>
        <v>5419.5946799999947</v>
      </c>
      <c r="AE112" s="26"/>
      <c r="AF112" s="26">
        <f>AF110</f>
        <v>8.3000000000000007</v>
      </c>
      <c r="AG112" s="26"/>
      <c r="AH112" s="47">
        <f>AH110</f>
        <v>230000.00000000003</v>
      </c>
      <c r="AI112" s="26">
        <f>AI110</f>
        <v>202400.00000000003</v>
      </c>
      <c r="AJ112" s="27">
        <f>AJ110</f>
        <v>27600</v>
      </c>
      <c r="AK112" s="12"/>
      <c r="AL112" s="12"/>
    </row>
    <row r="113" spans="1:38" s="44" customFormat="1" ht="29.25" customHeight="1">
      <c r="A113" s="144" t="s">
        <v>118</v>
      </c>
      <c r="B113" s="144"/>
      <c r="C113" s="150"/>
      <c r="D113" s="150"/>
      <c r="E113" s="150"/>
      <c r="F113" s="56"/>
      <c r="G113" s="26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2"/>
      <c r="V113" s="32"/>
      <c r="W113" s="32"/>
      <c r="X113" s="32"/>
      <c r="Y113" s="32"/>
      <c r="Z113" s="32"/>
      <c r="AA113" s="30"/>
      <c r="AB113" s="32"/>
      <c r="AC113" s="32"/>
      <c r="AD113" s="32"/>
      <c r="AE113" s="32"/>
      <c r="AF113" s="32"/>
      <c r="AG113" s="32"/>
      <c r="AH113" s="57"/>
      <c r="AI113" s="32"/>
      <c r="AJ113" s="54"/>
      <c r="AK113" s="12"/>
      <c r="AL113" s="12"/>
    </row>
    <row r="114" spans="1:38" s="44" customFormat="1" ht="45" customHeight="1">
      <c r="A114" s="29">
        <v>42</v>
      </c>
      <c r="B114" s="74" t="s">
        <v>119</v>
      </c>
      <c r="C114" s="30" t="s">
        <v>29</v>
      </c>
      <c r="D114" s="30"/>
      <c r="E114" s="36">
        <v>2.82</v>
      </c>
      <c r="F114" s="36"/>
      <c r="G114" s="32">
        <v>73334.083140000002</v>
      </c>
      <c r="H114" s="58"/>
      <c r="I114" s="59"/>
      <c r="J114" s="59"/>
      <c r="K114" s="59"/>
      <c r="L114" s="64"/>
      <c r="M114" s="65"/>
      <c r="N114" s="59"/>
      <c r="O114" s="59" t="s">
        <v>120</v>
      </c>
      <c r="P114" s="64"/>
      <c r="Q114" s="65"/>
      <c r="R114" s="59"/>
      <c r="S114" s="59"/>
      <c r="T114" s="31">
        <f>E114</f>
        <v>2.82</v>
      </c>
      <c r="U114" s="32"/>
      <c r="V114" s="32">
        <f>G114</f>
        <v>73334.083140000002</v>
      </c>
      <c r="W114" s="32"/>
      <c r="X114" s="32">
        <f>V114</f>
        <v>73334.083140000002</v>
      </c>
      <c r="Y114" s="32"/>
      <c r="Z114" s="36"/>
      <c r="AA114" s="31"/>
      <c r="AB114" s="32"/>
      <c r="AC114" s="32"/>
      <c r="AD114" s="32"/>
      <c r="AE114" s="32"/>
      <c r="AF114" s="32"/>
      <c r="AG114" s="32"/>
      <c r="AH114" s="57"/>
      <c r="AI114" s="32"/>
      <c r="AJ114" s="54"/>
      <c r="AK114" s="12"/>
      <c r="AL114" s="12"/>
    </row>
    <row r="115" spans="1:38" s="44" customFormat="1" ht="63" customHeight="1">
      <c r="A115" s="29">
        <v>43</v>
      </c>
      <c r="B115" s="74" t="s">
        <v>121</v>
      </c>
      <c r="C115" s="30" t="s">
        <v>29</v>
      </c>
      <c r="D115" s="30"/>
      <c r="E115" s="36">
        <v>3.5</v>
      </c>
      <c r="F115" s="36"/>
      <c r="G115" s="32">
        <v>84438</v>
      </c>
      <c r="H115" s="58"/>
      <c r="I115" s="59"/>
      <c r="J115" s="59"/>
      <c r="K115" s="59"/>
      <c r="L115" s="64"/>
      <c r="M115" s="65"/>
      <c r="N115" s="59"/>
      <c r="O115" s="59"/>
      <c r="P115" s="64"/>
      <c r="Q115" s="65"/>
      <c r="R115" s="59"/>
      <c r="S115" s="59"/>
      <c r="T115" s="31"/>
      <c r="U115" s="32"/>
      <c r="V115" s="32"/>
      <c r="W115" s="32"/>
      <c r="X115" s="32"/>
      <c r="Y115" s="32"/>
      <c r="Z115" s="36">
        <f>E115</f>
        <v>3.5</v>
      </c>
      <c r="AA115" s="31"/>
      <c r="AB115" s="32">
        <f>G115</f>
        <v>84438</v>
      </c>
      <c r="AC115" s="32">
        <v>79371.718779999996</v>
      </c>
      <c r="AD115" s="32">
        <f>AB115-AC115</f>
        <v>5066.2812200000044</v>
      </c>
      <c r="AE115" s="32"/>
      <c r="AF115" s="32"/>
      <c r="AG115" s="32"/>
      <c r="AH115" s="57"/>
      <c r="AI115" s="32"/>
      <c r="AJ115" s="54"/>
      <c r="AK115" s="12"/>
      <c r="AL115" s="12"/>
    </row>
    <row r="116" spans="1:38" s="44" customFormat="1" ht="60.75" customHeight="1">
      <c r="A116" s="29">
        <v>44</v>
      </c>
      <c r="B116" s="74" t="s">
        <v>190</v>
      </c>
      <c r="C116" s="30" t="s">
        <v>29</v>
      </c>
      <c r="D116" s="30"/>
      <c r="E116" s="36">
        <v>6.25</v>
      </c>
      <c r="F116" s="36"/>
      <c r="G116" s="32">
        <f>189000-4000-15000</f>
        <v>170000</v>
      </c>
      <c r="H116" s="58"/>
      <c r="I116" s="59"/>
      <c r="J116" s="59"/>
      <c r="K116" s="59"/>
      <c r="L116" s="64"/>
      <c r="M116" s="65"/>
      <c r="N116" s="59"/>
      <c r="O116" s="59"/>
      <c r="P116" s="64"/>
      <c r="Q116" s="65"/>
      <c r="R116" s="59"/>
      <c r="S116" s="59"/>
      <c r="T116" s="31"/>
      <c r="U116" s="32"/>
      <c r="V116" s="32"/>
      <c r="W116" s="32"/>
      <c r="X116" s="32" t="s">
        <v>120</v>
      </c>
      <c r="Y116" s="32"/>
      <c r="Z116" s="36"/>
      <c r="AA116" s="31"/>
      <c r="AB116" s="32"/>
      <c r="AC116" s="32"/>
      <c r="AD116" s="32"/>
      <c r="AE116" s="32"/>
      <c r="AF116" s="31">
        <f>E116</f>
        <v>6.25</v>
      </c>
      <c r="AG116" s="32"/>
      <c r="AH116" s="57">
        <f>G116</f>
        <v>170000</v>
      </c>
      <c r="AI116" s="32">
        <f>AH116*0.88</f>
        <v>149600</v>
      </c>
      <c r="AJ116" s="54">
        <f>AH116-AI116</f>
        <v>20400</v>
      </c>
      <c r="AK116" s="12"/>
      <c r="AL116" s="12"/>
    </row>
    <row r="117" spans="1:38" s="44" customFormat="1" ht="34.5" customHeight="1">
      <c r="A117" s="151" t="s">
        <v>122</v>
      </c>
      <c r="B117" s="151"/>
      <c r="C117" s="79"/>
      <c r="D117" s="79"/>
      <c r="E117" s="63">
        <f>SUM(E114:E116)</f>
        <v>12.57</v>
      </c>
      <c r="F117" s="32"/>
      <c r="G117" s="26">
        <f>SUM(G114:G116)</f>
        <v>327772.08314</v>
      </c>
      <c r="H117" s="63" t="e">
        <f>SUM(#REF!)</f>
        <v>#REF!</v>
      </c>
      <c r="I117" s="45" t="e">
        <f>SUM(#REF!)</f>
        <v>#REF!</v>
      </c>
      <c r="J117" s="45" t="e">
        <f>SUM(#REF!)</f>
        <v>#REF!</v>
      </c>
      <c r="K117" s="45"/>
      <c r="L117" s="63" t="e">
        <f>SUM(#REF!)</f>
        <v>#REF!</v>
      </c>
      <c r="M117" s="45" t="e">
        <f>SUM(#REF!)</f>
        <v>#REF!</v>
      </c>
      <c r="N117" s="45" t="e">
        <f>SUM(#REF!)</f>
        <v>#REF!</v>
      </c>
      <c r="O117" s="45"/>
      <c r="P117" s="63">
        <f>SUM(P114:P114)</f>
        <v>0</v>
      </c>
      <c r="Q117" s="45">
        <f>SUM(Q114:Q114)</f>
        <v>0</v>
      </c>
      <c r="R117" s="45">
        <f>SUM(R114:R114)</f>
        <v>0</v>
      </c>
      <c r="S117" s="45"/>
      <c r="T117" s="63">
        <f>SUM(T114:T114)</f>
        <v>2.82</v>
      </c>
      <c r="U117" s="26">
        <f>SUM(U114:U114)</f>
        <v>0</v>
      </c>
      <c r="V117" s="26">
        <f>SUM(V114:V114)</f>
        <v>73334.083140000002</v>
      </c>
      <c r="W117" s="26"/>
      <c r="X117" s="26">
        <f>SUM(X114:X114)</f>
        <v>73334.083140000002</v>
      </c>
      <c r="Y117" s="26"/>
      <c r="Z117" s="26">
        <f>Z115</f>
        <v>3.5</v>
      </c>
      <c r="AA117" s="63"/>
      <c r="AB117" s="26">
        <f>AB115</f>
        <v>84438</v>
      </c>
      <c r="AC117" s="26">
        <f>AC115</f>
        <v>79371.718779999996</v>
      </c>
      <c r="AD117" s="26">
        <f>AD115</f>
        <v>5066.2812200000044</v>
      </c>
      <c r="AE117" s="26"/>
      <c r="AF117" s="26">
        <f>SUM(AF116:AF116)</f>
        <v>6.25</v>
      </c>
      <c r="AG117" s="26"/>
      <c r="AH117" s="47">
        <f>SUM(AH116:AH116)</f>
        <v>170000</v>
      </c>
      <c r="AI117" s="26">
        <f>SUM(AI116:AI116)</f>
        <v>149600</v>
      </c>
      <c r="AJ117" s="27">
        <f>SUM(AJ116:AJ116)</f>
        <v>20400</v>
      </c>
      <c r="AK117" s="12"/>
      <c r="AL117" s="12"/>
    </row>
    <row r="118" spans="1:38" s="44" customFormat="1" ht="34.5" customHeight="1">
      <c r="A118" s="144" t="s">
        <v>123</v>
      </c>
      <c r="B118" s="144"/>
      <c r="C118" s="79"/>
      <c r="D118" s="79"/>
      <c r="E118" s="63"/>
      <c r="F118" s="63"/>
      <c r="G118" s="26"/>
      <c r="H118" s="63"/>
      <c r="I118" s="45"/>
      <c r="J118" s="45"/>
      <c r="K118" s="45"/>
      <c r="L118" s="63"/>
      <c r="M118" s="45"/>
      <c r="N118" s="45"/>
      <c r="O118" s="45"/>
      <c r="P118" s="63"/>
      <c r="Q118" s="45"/>
      <c r="R118" s="45"/>
      <c r="S118" s="45"/>
      <c r="T118" s="63"/>
      <c r="U118" s="26"/>
      <c r="V118" s="26"/>
      <c r="W118" s="26"/>
      <c r="X118" s="26"/>
      <c r="Y118" s="26"/>
      <c r="Z118" s="26"/>
      <c r="AA118" s="63"/>
      <c r="AB118" s="26"/>
      <c r="AC118" s="26"/>
      <c r="AD118" s="26"/>
      <c r="AE118" s="26"/>
      <c r="AF118" s="26"/>
      <c r="AG118" s="26"/>
      <c r="AH118" s="47"/>
      <c r="AI118" s="26"/>
      <c r="AJ118" s="27"/>
      <c r="AK118" s="12"/>
      <c r="AL118" s="12"/>
    </row>
    <row r="119" spans="1:38" s="44" customFormat="1" ht="45.75" customHeight="1">
      <c r="A119" s="29">
        <v>45</v>
      </c>
      <c r="B119" s="74" t="s">
        <v>124</v>
      </c>
      <c r="C119" s="30" t="s">
        <v>29</v>
      </c>
      <c r="D119" s="79"/>
      <c r="E119" s="58">
        <f>38.268-32.25</f>
        <v>6.0180000000000007</v>
      </c>
      <c r="F119" s="62"/>
      <c r="G119" s="32">
        <v>177923.18470000001</v>
      </c>
      <c r="H119" s="63"/>
      <c r="I119" s="45"/>
      <c r="J119" s="45"/>
      <c r="K119" s="45"/>
      <c r="L119" s="63"/>
      <c r="M119" s="45"/>
      <c r="N119" s="45"/>
      <c r="O119" s="45"/>
      <c r="P119" s="63"/>
      <c r="Q119" s="45"/>
      <c r="R119" s="45"/>
      <c r="S119" s="45"/>
      <c r="T119" s="63"/>
      <c r="U119" s="26"/>
      <c r="V119" s="26"/>
      <c r="W119" s="26"/>
      <c r="X119" s="26"/>
      <c r="Y119" s="26"/>
      <c r="Z119" s="58">
        <f>E119</f>
        <v>6.0180000000000007</v>
      </c>
      <c r="AA119" s="63"/>
      <c r="AB119" s="32">
        <f>G119</f>
        <v>177923.18470000001</v>
      </c>
      <c r="AC119" s="32">
        <v>167247.79104000001</v>
      </c>
      <c r="AD119" s="32">
        <f>AB119-AC119</f>
        <v>10675.393660000002</v>
      </c>
      <c r="AE119" s="26"/>
      <c r="AF119" s="26"/>
      <c r="AG119" s="26"/>
      <c r="AH119" s="47"/>
      <c r="AI119" s="26"/>
      <c r="AJ119" s="27"/>
      <c r="AK119" s="12"/>
      <c r="AL119" s="12"/>
    </row>
    <row r="120" spans="1:38" s="44" customFormat="1" ht="45.75" customHeight="1">
      <c r="A120" s="29">
        <v>46</v>
      </c>
      <c r="B120" s="74" t="s">
        <v>125</v>
      </c>
      <c r="C120" s="30" t="s">
        <v>29</v>
      </c>
      <c r="D120" s="79"/>
      <c r="E120" s="58">
        <f>27-23.25</f>
        <v>3.75</v>
      </c>
      <c r="F120" s="62"/>
      <c r="G120" s="32">
        <v>94254.907399999996</v>
      </c>
      <c r="H120" s="63"/>
      <c r="I120" s="45"/>
      <c r="J120" s="45"/>
      <c r="K120" s="45"/>
      <c r="L120" s="63"/>
      <c r="M120" s="45"/>
      <c r="N120" s="45"/>
      <c r="O120" s="45"/>
      <c r="P120" s="63"/>
      <c r="Q120" s="45"/>
      <c r="R120" s="45"/>
      <c r="S120" s="45"/>
      <c r="T120" s="63"/>
      <c r="U120" s="26"/>
      <c r="V120" s="26"/>
      <c r="W120" s="26"/>
      <c r="X120" s="26"/>
      <c r="Y120" s="26"/>
      <c r="Z120" s="58">
        <f>E120</f>
        <v>3.75</v>
      </c>
      <c r="AA120" s="63"/>
      <c r="AB120" s="32">
        <f>G120</f>
        <v>94254.907399999996</v>
      </c>
      <c r="AC120" s="32">
        <v>88599.61159</v>
      </c>
      <c r="AD120" s="32">
        <f>AB120-AC120</f>
        <v>5655.295809999996</v>
      </c>
      <c r="AE120" s="26"/>
      <c r="AF120" s="26"/>
      <c r="AG120" s="26"/>
      <c r="AH120" s="47"/>
      <c r="AI120" s="26"/>
      <c r="AJ120" s="27"/>
      <c r="AK120" s="12"/>
      <c r="AL120" s="12"/>
    </row>
    <row r="121" spans="1:38" s="44" customFormat="1" ht="62.25" customHeight="1">
      <c r="A121" s="29">
        <v>47</v>
      </c>
      <c r="B121" s="74" t="s">
        <v>186</v>
      </c>
      <c r="C121" s="30" t="s">
        <v>29</v>
      </c>
      <c r="D121" s="79"/>
      <c r="E121" s="58">
        <v>3.5</v>
      </c>
      <c r="F121" s="62"/>
      <c r="G121" s="32">
        <f>E121*30000</f>
        <v>105000</v>
      </c>
      <c r="H121" s="63"/>
      <c r="I121" s="45"/>
      <c r="J121" s="45"/>
      <c r="K121" s="45"/>
      <c r="L121" s="63"/>
      <c r="M121" s="45"/>
      <c r="N121" s="45"/>
      <c r="O121" s="45"/>
      <c r="P121" s="63"/>
      <c r="Q121" s="45"/>
      <c r="R121" s="45"/>
      <c r="S121" s="45"/>
      <c r="T121" s="63"/>
      <c r="U121" s="26"/>
      <c r="V121" s="26"/>
      <c r="W121" s="26"/>
      <c r="X121" s="26"/>
      <c r="Y121" s="26"/>
      <c r="Z121" s="58"/>
      <c r="AA121" s="63"/>
      <c r="AB121" s="32"/>
      <c r="AC121" s="32"/>
      <c r="AD121" s="32"/>
      <c r="AE121" s="26"/>
      <c r="AF121" s="31">
        <f>E121</f>
        <v>3.5</v>
      </c>
      <c r="AG121" s="32"/>
      <c r="AH121" s="57">
        <f>G121</f>
        <v>105000</v>
      </c>
      <c r="AI121" s="32">
        <f>AH121*0.88</f>
        <v>92400</v>
      </c>
      <c r="AJ121" s="54">
        <f>AH121-AI121</f>
        <v>12600</v>
      </c>
      <c r="AK121" s="12"/>
      <c r="AL121" s="12"/>
    </row>
    <row r="122" spans="1:38" s="44" customFormat="1" ht="44.25" customHeight="1">
      <c r="A122" s="29">
        <v>48</v>
      </c>
      <c r="B122" s="74" t="s">
        <v>187</v>
      </c>
      <c r="C122" s="30" t="s">
        <v>29</v>
      </c>
      <c r="D122" s="79"/>
      <c r="E122" s="58">
        <v>2.9</v>
      </c>
      <c r="F122" s="62"/>
      <c r="G122" s="32">
        <f>E122*30000-3500</f>
        <v>83500</v>
      </c>
      <c r="H122" s="63"/>
      <c r="I122" s="45"/>
      <c r="J122" s="45"/>
      <c r="K122" s="45"/>
      <c r="L122" s="63"/>
      <c r="M122" s="45"/>
      <c r="N122" s="45"/>
      <c r="O122" s="45"/>
      <c r="P122" s="63"/>
      <c r="Q122" s="45"/>
      <c r="R122" s="45"/>
      <c r="S122" s="45"/>
      <c r="T122" s="63"/>
      <c r="U122" s="26"/>
      <c r="V122" s="26"/>
      <c r="W122" s="26"/>
      <c r="X122" s="26"/>
      <c r="Y122" s="26"/>
      <c r="Z122" s="58"/>
      <c r="AA122" s="63"/>
      <c r="AB122" s="32"/>
      <c r="AC122" s="32"/>
      <c r="AD122" s="32"/>
      <c r="AE122" s="26"/>
      <c r="AF122" s="31">
        <f>E122</f>
        <v>2.9</v>
      </c>
      <c r="AG122" s="32"/>
      <c r="AH122" s="57">
        <f>G122</f>
        <v>83500</v>
      </c>
      <c r="AI122" s="32">
        <f>AH122*0.88</f>
        <v>73480</v>
      </c>
      <c r="AJ122" s="54">
        <f>AH122-AI122</f>
        <v>10020</v>
      </c>
      <c r="AK122" s="12"/>
      <c r="AL122" s="12"/>
    </row>
    <row r="123" spans="1:38" s="44" customFormat="1" ht="34.15" customHeight="1">
      <c r="A123" s="151" t="s">
        <v>126</v>
      </c>
      <c r="B123" s="151"/>
      <c r="C123" s="79"/>
      <c r="D123" s="79"/>
      <c r="E123" s="63">
        <f>SUM(E119:E122)</f>
        <v>16.167999999999999</v>
      </c>
      <c r="F123" s="32"/>
      <c r="G123" s="26">
        <f>SUM(G119:G122)</f>
        <v>460678.09210000001</v>
      </c>
      <c r="H123" s="63"/>
      <c r="I123" s="45"/>
      <c r="J123" s="45"/>
      <c r="K123" s="45"/>
      <c r="L123" s="63"/>
      <c r="M123" s="45"/>
      <c r="N123" s="45"/>
      <c r="O123" s="45"/>
      <c r="P123" s="63"/>
      <c r="Q123" s="45"/>
      <c r="R123" s="45"/>
      <c r="S123" s="45"/>
      <c r="T123" s="63"/>
      <c r="U123" s="26"/>
      <c r="V123" s="26"/>
      <c r="W123" s="26"/>
      <c r="X123" s="26"/>
      <c r="Y123" s="26"/>
      <c r="Z123" s="63">
        <f>SUM(Z119:Z120)</f>
        <v>9.7680000000000007</v>
      </c>
      <c r="AA123" s="63"/>
      <c r="AB123" s="26">
        <f>SUM(AB119:AB120)</f>
        <v>272178.09210000001</v>
      </c>
      <c r="AC123" s="26">
        <f>SUM(AC119:AC120)</f>
        <v>255847.40263000003</v>
      </c>
      <c r="AD123" s="26">
        <f>SUM(AD119:AD120)</f>
        <v>16330.689469999998</v>
      </c>
      <c r="AE123" s="26"/>
      <c r="AF123" s="26">
        <f>SUM(AF121:AF122)</f>
        <v>6.4</v>
      </c>
      <c r="AG123" s="26"/>
      <c r="AH123" s="47">
        <f>SUM(AH121:AH122)</f>
        <v>188500</v>
      </c>
      <c r="AI123" s="26">
        <f>SUM(AI121:AI122)</f>
        <v>165880</v>
      </c>
      <c r="AJ123" s="27">
        <f>SUM(AJ121:AJ122)</f>
        <v>22620</v>
      </c>
      <c r="AK123" s="12"/>
      <c r="AL123" s="12"/>
    </row>
    <row r="124" spans="1:38" s="44" customFormat="1" ht="27.75" customHeight="1">
      <c r="A124" s="144" t="s">
        <v>127</v>
      </c>
      <c r="B124" s="144"/>
      <c r="C124" s="150"/>
      <c r="D124" s="150"/>
      <c r="E124" s="150"/>
      <c r="F124" s="56"/>
      <c r="G124" s="26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2"/>
      <c r="V124" s="32"/>
      <c r="W124" s="32"/>
      <c r="X124" s="32"/>
      <c r="Y124" s="32"/>
      <c r="Z124" s="32"/>
      <c r="AA124" s="30"/>
      <c r="AB124" s="32"/>
      <c r="AC124" s="32"/>
      <c r="AD124" s="32"/>
      <c r="AE124" s="32"/>
      <c r="AF124" s="32"/>
      <c r="AG124" s="32"/>
      <c r="AH124" s="57"/>
      <c r="AI124" s="32"/>
      <c r="AJ124" s="54"/>
      <c r="AK124" s="12"/>
      <c r="AL124" s="12"/>
    </row>
    <row r="125" spans="1:38" s="44" customFormat="1" ht="42.75" customHeight="1">
      <c r="A125" s="29">
        <v>49</v>
      </c>
      <c r="B125" s="74" t="s">
        <v>128</v>
      </c>
      <c r="C125" s="30" t="s">
        <v>29</v>
      </c>
      <c r="D125" s="30"/>
      <c r="E125" s="36">
        <f>8.63-1.82</f>
        <v>6.8100000000000005</v>
      </c>
      <c r="F125" s="36"/>
      <c r="G125" s="32">
        <v>163235.96216</v>
      </c>
      <c r="H125" s="58"/>
      <c r="I125" s="59"/>
      <c r="J125" s="59"/>
      <c r="K125" s="59"/>
      <c r="L125" s="64"/>
      <c r="M125" s="65"/>
      <c r="N125" s="59"/>
      <c r="O125" s="59"/>
      <c r="P125" s="31"/>
      <c r="Q125" s="59"/>
      <c r="R125" s="59"/>
      <c r="S125" s="59"/>
      <c r="T125" s="31">
        <f>E125</f>
        <v>6.8100000000000005</v>
      </c>
      <c r="U125" s="32"/>
      <c r="V125" s="32">
        <f>G125</f>
        <v>163235.96216</v>
      </c>
      <c r="W125" s="32"/>
      <c r="X125" s="32">
        <f>V125</f>
        <v>163235.96216</v>
      </c>
      <c r="Y125" s="32"/>
      <c r="Z125" s="32"/>
      <c r="AA125" s="31"/>
      <c r="AB125" s="70"/>
      <c r="AC125" s="70"/>
      <c r="AD125" s="70"/>
      <c r="AE125" s="70"/>
      <c r="AF125" s="70"/>
      <c r="AG125" s="32"/>
      <c r="AH125" s="57"/>
      <c r="AI125" s="32"/>
      <c r="AJ125" s="54"/>
      <c r="AK125" s="12"/>
      <c r="AL125" s="12"/>
    </row>
    <row r="126" spans="1:38" s="44" customFormat="1" ht="33.75" customHeight="1">
      <c r="A126" s="29">
        <v>50</v>
      </c>
      <c r="B126" s="74" t="s">
        <v>129</v>
      </c>
      <c r="C126" s="30" t="s">
        <v>29</v>
      </c>
      <c r="D126" s="30"/>
      <c r="E126" s="36">
        <v>6</v>
      </c>
      <c r="F126" s="36"/>
      <c r="G126" s="32">
        <v>142640.61877</v>
      </c>
      <c r="H126" s="58"/>
      <c r="I126" s="59"/>
      <c r="J126" s="59"/>
      <c r="K126" s="59"/>
      <c r="L126" s="64"/>
      <c r="M126" s="65"/>
      <c r="N126" s="59"/>
      <c r="O126" s="59"/>
      <c r="P126" s="31"/>
      <c r="Q126" s="59"/>
      <c r="R126" s="59"/>
      <c r="S126" s="59"/>
      <c r="T126" s="31"/>
      <c r="U126" s="32"/>
      <c r="V126" s="32"/>
      <c r="W126" s="32"/>
      <c r="X126" s="32"/>
      <c r="Y126" s="32"/>
      <c r="Z126" s="31">
        <v>6</v>
      </c>
      <c r="AA126" s="31"/>
      <c r="AB126" s="32">
        <f>G126</f>
        <v>142640.61877</v>
      </c>
      <c r="AC126" s="32">
        <v>134082.17958</v>
      </c>
      <c r="AD126" s="32">
        <f>AB126-AC126</f>
        <v>8558.4391900000046</v>
      </c>
      <c r="AE126" s="70"/>
      <c r="AF126" s="70"/>
      <c r="AG126" s="32"/>
      <c r="AH126" s="57"/>
      <c r="AI126" s="32"/>
      <c r="AJ126" s="54"/>
      <c r="AK126" s="12"/>
      <c r="AL126" s="12"/>
    </row>
    <row r="127" spans="1:38" s="44" customFormat="1" ht="23.25" customHeight="1">
      <c r="A127" s="29">
        <v>51</v>
      </c>
      <c r="B127" s="74" t="s">
        <v>130</v>
      </c>
      <c r="C127" s="30" t="s">
        <v>42</v>
      </c>
      <c r="D127" s="30"/>
      <c r="E127" s="36">
        <v>6</v>
      </c>
      <c r="F127" s="36"/>
      <c r="G127" s="32">
        <f>E127*80000-48000+18000-10000-7000-13000</f>
        <v>420000</v>
      </c>
      <c r="H127" s="58"/>
      <c r="I127" s="59"/>
      <c r="J127" s="59"/>
      <c r="K127" s="59"/>
      <c r="L127" s="64"/>
      <c r="M127" s="65"/>
      <c r="N127" s="59"/>
      <c r="O127" s="59"/>
      <c r="P127" s="31"/>
      <c r="Q127" s="59"/>
      <c r="R127" s="59"/>
      <c r="S127" s="59"/>
      <c r="T127" s="31"/>
      <c r="U127" s="32"/>
      <c r="V127" s="32"/>
      <c r="W127" s="32"/>
      <c r="X127" s="32"/>
      <c r="Y127" s="32"/>
      <c r="Z127" s="31"/>
      <c r="AA127" s="31"/>
      <c r="AB127" s="32"/>
      <c r="AC127" s="32"/>
      <c r="AD127" s="32"/>
      <c r="AE127" s="70"/>
      <c r="AF127" s="31">
        <f>E127</f>
        <v>6</v>
      </c>
      <c r="AG127" s="32"/>
      <c r="AH127" s="57">
        <f>G127</f>
        <v>420000</v>
      </c>
      <c r="AI127" s="32">
        <f>AH127*0.88</f>
        <v>369600</v>
      </c>
      <c r="AJ127" s="54">
        <f>AH127-AI127</f>
        <v>50400</v>
      </c>
      <c r="AK127" s="12"/>
      <c r="AL127" s="12"/>
    </row>
    <row r="128" spans="1:38" s="44" customFormat="1" ht="24.75" customHeight="1">
      <c r="A128" s="66"/>
      <c r="B128" s="53" t="s">
        <v>51</v>
      </c>
      <c r="C128" s="30"/>
      <c r="D128" s="30"/>
      <c r="E128" s="73">
        <f>SUM(E125:E127)</f>
        <v>18.810000000000002</v>
      </c>
      <c r="F128" s="32"/>
      <c r="G128" s="32">
        <f>SUM(G125:G127)</f>
        <v>725876.58092999994</v>
      </c>
      <c r="H128" s="58"/>
      <c r="I128" s="59"/>
      <c r="J128" s="59"/>
      <c r="K128" s="59"/>
      <c r="L128" s="64"/>
      <c r="M128" s="65"/>
      <c r="N128" s="59"/>
      <c r="O128" s="59"/>
      <c r="P128" s="31"/>
      <c r="Q128" s="59"/>
      <c r="R128" s="59"/>
      <c r="S128" s="59"/>
      <c r="T128" s="32">
        <f>SUM(T125:T125)</f>
        <v>6.8100000000000005</v>
      </c>
      <c r="U128" s="32"/>
      <c r="V128" s="32">
        <f>SUM(V125:V125)</f>
        <v>163235.96216</v>
      </c>
      <c r="W128" s="32">
        <f>SUM(W125:W125)</f>
        <v>0</v>
      </c>
      <c r="X128" s="32">
        <f>SUM(X125:X125)</f>
        <v>163235.96216</v>
      </c>
      <c r="Y128" s="32"/>
      <c r="Z128" s="73">
        <f>SUM(Z125:Z126)</f>
        <v>6</v>
      </c>
      <c r="AA128" s="36"/>
      <c r="AB128" s="32">
        <f>SUM(AB125:AB126)</f>
        <v>142640.61877</v>
      </c>
      <c r="AC128" s="32">
        <f>SUM(AC125:AC126)</f>
        <v>134082.17958</v>
      </c>
      <c r="AD128" s="32">
        <f>SUM(AD125:AD126)</f>
        <v>8558.4391900000046</v>
      </c>
      <c r="AE128" s="32"/>
      <c r="AF128" s="32">
        <f>SUM(AF127)</f>
        <v>6</v>
      </c>
      <c r="AG128" s="32"/>
      <c r="AH128" s="57">
        <f>SUM(AH127)</f>
        <v>420000</v>
      </c>
      <c r="AI128" s="32">
        <f>SUM(AI127)</f>
        <v>369600</v>
      </c>
      <c r="AJ128" s="54">
        <f>SUM(AJ127)</f>
        <v>50400</v>
      </c>
      <c r="AK128" s="12"/>
      <c r="AL128" s="12"/>
    </row>
    <row r="129" spans="1:38" s="44" customFormat="1" ht="29.25" customHeight="1">
      <c r="A129" s="66"/>
      <c r="B129" s="53" t="s">
        <v>52</v>
      </c>
      <c r="C129" s="30"/>
      <c r="D129" s="30"/>
      <c r="E129" s="73">
        <f>T129+Z129</f>
        <v>11.998000000000001</v>
      </c>
      <c r="F129" s="36"/>
      <c r="G129" s="32">
        <f>V129+AB129</f>
        <v>324796.90000000002</v>
      </c>
      <c r="H129" s="58"/>
      <c r="I129" s="59"/>
      <c r="J129" s="59"/>
      <c r="K129" s="59"/>
      <c r="L129" s="64"/>
      <c r="M129" s="65"/>
      <c r="N129" s="59"/>
      <c r="O129" s="59"/>
      <c r="P129" s="31"/>
      <c r="Q129" s="59"/>
      <c r="R129" s="59"/>
      <c r="S129" s="59"/>
      <c r="T129" s="32">
        <v>7.4320000000000004</v>
      </c>
      <c r="U129" s="32"/>
      <c r="V129" s="32">
        <v>248931</v>
      </c>
      <c r="W129" s="32"/>
      <c r="X129" s="32">
        <f>V129</f>
        <v>248931</v>
      </c>
      <c r="Y129" s="32"/>
      <c r="Z129" s="73">
        <v>4.5659999999999998</v>
      </c>
      <c r="AA129" s="36"/>
      <c r="AB129" s="32">
        <v>75865.899999999994</v>
      </c>
      <c r="AC129" s="32"/>
      <c r="AD129" s="32">
        <f>AB129</f>
        <v>75865.899999999994</v>
      </c>
      <c r="AE129" s="32"/>
      <c r="AF129" s="32"/>
      <c r="AG129" s="32"/>
      <c r="AH129" s="57"/>
      <c r="AI129" s="32"/>
      <c r="AJ129" s="54"/>
      <c r="AK129" s="12"/>
      <c r="AL129" s="12"/>
    </row>
    <row r="130" spans="1:38" s="44" customFormat="1" ht="45" customHeight="1">
      <c r="A130" s="151" t="s">
        <v>131</v>
      </c>
      <c r="B130" s="151"/>
      <c r="C130" s="151"/>
      <c r="D130" s="33"/>
      <c r="E130" s="26">
        <f>SUM(E128:E129)</f>
        <v>30.808000000000003</v>
      </c>
      <c r="F130" s="26"/>
      <c r="G130" s="26">
        <f>SUM(G128:G129)</f>
        <v>1050673.4809300001</v>
      </c>
      <c r="H130" s="63" t="e">
        <f>SUM(#REF!)</f>
        <v>#REF!</v>
      </c>
      <c r="I130" s="45" t="e">
        <f>SUM(#REF!)</f>
        <v>#REF!</v>
      </c>
      <c r="J130" s="45" t="e">
        <f>SUM(#REF!)</f>
        <v>#REF!</v>
      </c>
      <c r="K130" s="45"/>
      <c r="L130" s="63" t="e">
        <f>SUM(#REF!)</f>
        <v>#REF!</v>
      </c>
      <c r="M130" s="45" t="e">
        <f>SUM(#REF!)</f>
        <v>#REF!</v>
      </c>
      <c r="N130" s="45" t="e">
        <f>SUM(#REF!)</f>
        <v>#REF!</v>
      </c>
      <c r="O130" s="45" t="e">
        <f>SUM(#REF!)</f>
        <v>#REF!</v>
      </c>
      <c r="P130" s="26">
        <f>SUM(P125:P129)</f>
        <v>0</v>
      </c>
      <c r="Q130" s="45">
        <f>SUM(Q125:Q129)</f>
        <v>0</v>
      </c>
      <c r="R130" s="45">
        <f>SUM(R125:R129)</f>
        <v>0</v>
      </c>
      <c r="S130" s="45">
        <f>SUM(S125:S129)</f>
        <v>0</v>
      </c>
      <c r="T130" s="26">
        <f>SUM(T128:T129)</f>
        <v>14.242000000000001</v>
      </c>
      <c r="U130" s="26"/>
      <c r="V130" s="26">
        <f>SUM(V128:V129)</f>
        <v>412166.96216</v>
      </c>
      <c r="W130" s="26">
        <f>SUM(W128:W129)</f>
        <v>0</v>
      </c>
      <c r="X130" s="26">
        <f>SUM(X128:X129)</f>
        <v>412166.96216</v>
      </c>
      <c r="Y130" s="26"/>
      <c r="Z130" s="26">
        <f>SUM(Z128:Z129)</f>
        <v>10.565999999999999</v>
      </c>
      <c r="AA130" s="26"/>
      <c r="AB130" s="26">
        <f>SUM(AB128:AB129)</f>
        <v>218506.51877</v>
      </c>
      <c r="AC130" s="26">
        <f>SUM(AC128:AC129)</f>
        <v>134082.17958</v>
      </c>
      <c r="AD130" s="26">
        <f>SUM(AD128:AD129)</f>
        <v>84424.339189999999</v>
      </c>
      <c r="AE130" s="26"/>
      <c r="AF130" s="26">
        <f>SUM(AF128:AF129)</f>
        <v>6</v>
      </c>
      <c r="AG130" s="26"/>
      <c r="AH130" s="26">
        <f>SUM(AH128:AH129)</f>
        <v>420000</v>
      </c>
      <c r="AI130" s="26">
        <f>SUM(AI128:AI129)</f>
        <v>369600</v>
      </c>
      <c r="AJ130" s="27">
        <f>SUM(AJ128:AJ129)</f>
        <v>50400</v>
      </c>
      <c r="AK130" s="12"/>
      <c r="AL130" s="12"/>
    </row>
    <row r="131" spans="1:38" s="44" customFormat="1" ht="32.25" customHeight="1">
      <c r="A131" s="144" t="s">
        <v>33</v>
      </c>
      <c r="B131" s="144"/>
      <c r="C131" s="75"/>
      <c r="D131" s="33"/>
      <c r="E131" s="26"/>
      <c r="F131" s="26"/>
      <c r="G131" s="26"/>
      <c r="H131" s="63"/>
      <c r="I131" s="45"/>
      <c r="J131" s="45"/>
      <c r="K131" s="45"/>
      <c r="L131" s="63"/>
      <c r="M131" s="45"/>
      <c r="N131" s="45"/>
      <c r="O131" s="45"/>
      <c r="P131" s="26"/>
      <c r="Q131" s="45"/>
      <c r="R131" s="45"/>
      <c r="S131" s="45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47"/>
      <c r="AI131" s="26"/>
      <c r="AJ131" s="27"/>
      <c r="AK131" s="12"/>
      <c r="AL131" s="12"/>
    </row>
    <row r="132" spans="1:38" s="44" customFormat="1" ht="42.75" customHeight="1">
      <c r="A132" s="29">
        <v>52</v>
      </c>
      <c r="B132" s="74" t="s">
        <v>132</v>
      </c>
      <c r="C132" s="30" t="s">
        <v>29</v>
      </c>
      <c r="D132" s="33"/>
      <c r="E132" s="36">
        <v>3.8</v>
      </c>
      <c r="F132" s="26"/>
      <c r="G132" s="32">
        <v>91396.939280000006</v>
      </c>
      <c r="H132" s="63"/>
      <c r="I132" s="45"/>
      <c r="J132" s="45"/>
      <c r="K132" s="45"/>
      <c r="L132" s="63"/>
      <c r="M132" s="45"/>
      <c r="N132" s="45"/>
      <c r="O132" s="45"/>
      <c r="P132" s="26"/>
      <c r="Q132" s="45"/>
      <c r="R132" s="45"/>
      <c r="S132" s="45"/>
      <c r="T132" s="26"/>
      <c r="U132" s="26"/>
      <c r="V132" s="26"/>
      <c r="W132" s="26"/>
      <c r="X132" s="26"/>
      <c r="Y132" s="26"/>
      <c r="Z132" s="31">
        <f>E132</f>
        <v>3.8</v>
      </c>
      <c r="AA132" s="26"/>
      <c r="AB132" s="32">
        <f>G132</f>
        <v>91396.939280000006</v>
      </c>
      <c r="AC132" s="32">
        <v>85913.121599999999</v>
      </c>
      <c r="AD132" s="32">
        <f>AB132-AC132</f>
        <v>5483.8176800000074</v>
      </c>
      <c r="AE132" s="26"/>
      <c r="AF132" s="26"/>
      <c r="AG132" s="26"/>
      <c r="AH132" s="47"/>
      <c r="AI132" s="26"/>
      <c r="AJ132" s="27"/>
      <c r="AK132" s="12"/>
      <c r="AL132" s="12"/>
    </row>
    <row r="133" spans="1:38" s="44" customFormat="1" ht="45" customHeight="1">
      <c r="A133" s="29">
        <v>53</v>
      </c>
      <c r="B133" s="74" t="s">
        <v>133</v>
      </c>
      <c r="C133" s="30" t="s">
        <v>29</v>
      </c>
      <c r="D133" s="33"/>
      <c r="E133" s="31">
        <v>5</v>
      </c>
      <c r="F133" s="26"/>
      <c r="G133" s="32">
        <v>119407.55494</v>
      </c>
      <c r="H133" s="63"/>
      <c r="I133" s="45"/>
      <c r="J133" s="45"/>
      <c r="K133" s="45"/>
      <c r="L133" s="63"/>
      <c r="M133" s="45"/>
      <c r="N133" s="45"/>
      <c r="O133" s="45"/>
      <c r="P133" s="26"/>
      <c r="Q133" s="45"/>
      <c r="R133" s="45"/>
      <c r="S133" s="45"/>
      <c r="T133" s="26"/>
      <c r="U133" s="26"/>
      <c r="V133" s="26"/>
      <c r="W133" s="26"/>
      <c r="X133" s="26"/>
      <c r="Y133" s="26"/>
      <c r="Z133" s="31">
        <f>E133</f>
        <v>5</v>
      </c>
      <c r="AA133" s="26"/>
      <c r="AB133" s="32">
        <f>G133</f>
        <v>119407.55494</v>
      </c>
      <c r="AC133" s="32">
        <v>112243.09991999999</v>
      </c>
      <c r="AD133" s="32">
        <f>AB133-AC133</f>
        <v>7164.4550200000085</v>
      </c>
      <c r="AE133" s="26"/>
      <c r="AF133" s="26"/>
      <c r="AG133" s="26"/>
      <c r="AH133" s="47" t="s">
        <v>62</v>
      </c>
      <c r="AI133" s="26"/>
      <c r="AJ133" s="27"/>
      <c r="AK133" s="12"/>
      <c r="AL133" s="12"/>
    </row>
    <row r="134" spans="1:38" s="44" customFormat="1" ht="34.5" customHeight="1">
      <c r="A134" s="29">
        <v>54</v>
      </c>
      <c r="B134" s="132" t="s">
        <v>188</v>
      </c>
      <c r="C134" s="30" t="s">
        <v>29</v>
      </c>
      <c r="D134" s="30"/>
      <c r="E134" s="31">
        <v>2.8</v>
      </c>
      <c r="F134" s="133"/>
      <c r="G134" s="67">
        <f>E134*30000</f>
        <v>84000</v>
      </c>
      <c r="H134" s="63"/>
      <c r="I134" s="45"/>
      <c r="J134" s="45"/>
      <c r="K134" s="45"/>
      <c r="L134" s="63"/>
      <c r="M134" s="45"/>
      <c r="N134" s="45"/>
      <c r="O134" s="45"/>
      <c r="P134" s="26"/>
      <c r="Q134" s="45"/>
      <c r="R134" s="45"/>
      <c r="S134" s="45"/>
      <c r="T134" s="26"/>
      <c r="U134" s="26"/>
      <c r="V134" s="26"/>
      <c r="W134" s="26"/>
      <c r="X134" s="26"/>
      <c r="Y134" s="26"/>
      <c r="Z134" s="31"/>
      <c r="AA134" s="26"/>
      <c r="AB134" s="32"/>
      <c r="AC134" s="32"/>
      <c r="AD134" s="32"/>
      <c r="AE134" s="26"/>
      <c r="AF134" s="31">
        <f>E134</f>
        <v>2.8</v>
      </c>
      <c r="AG134" s="32"/>
      <c r="AH134" s="57">
        <f>G134</f>
        <v>84000</v>
      </c>
      <c r="AI134" s="32">
        <f>AH134*0.88</f>
        <v>73920</v>
      </c>
      <c r="AJ134" s="54">
        <f>AH134-AI134</f>
        <v>10080</v>
      </c>
      <c r="AK134" s="12"/>
      <c r="AL134" s="12"/>
    </row>
    <row r="135" spans="1:38" s="44" customFormat="1" ht="33" customHeight="1">
      <c r="A135" s="151" t="s">
        <v>134</v>
      </c>
      <c r="B135" s="151"/>
      <c r="C135" s="33"/>
      <c r="D135" s="33"/>
      <c r="E135" s="76">
        <f>SUM(E132:E134)</f>
        <v>11.600000000000001</v>
      </c>
      <c r="F135" s="32"/>
      <c r="G135" s="26">
        <f>SUM(G132:G134)</f>
        <v>294804.49421999999</v>
      </c>
      <c r="H135" s="63"/>
      <c r="I135" s="45"/>
      <c r="J135" s="45"/>
      <c r="K135" s="45"/>
      <c r="L135" s="63"/>
      <c r="M135" s="45"/>
      <c r="N135" s="45"/>
      <c r="O135" s="45"/>
      <c r="P135" s="26"/>
      <c r="Q135" s="45"/>
      <c r="R135" s="45"/>
      <c r="S135" s="45"/>
      <c r="T135" s="26"/>
      <c r="U135" s="26"/>
      <c r="V135" s="26"/>
      <c r="W135" s="26"/>
      <c r="X135" s="26"/>
      <c r="Y135" s="26"/>
      <c r="Z135" s="76">
        <f>SUM(Z132:Z133)</f>
        <v>8.8000000000000007</v>
      </c>
      <c r="AA135" s="26"/>
      <c r="AB135" s="26">
        <f>SUM(AB132:AB133)</f>
        <v>210804.49421999999</v>
      </c>
      <c r="AC135" s="26">
        <f>SUM(AC132:AC133)</f>
        <v>198156.22151999999</v>
      </c>
      <c r="AD135" s="26">
        <f>SUM(AD132:AD133)</f>
        <v>12648.272700000016</v>
      </c>
      <c r="AE135" s="26"/>
      <c r="AF135" s="26">
        <f>SUM(AF134)</f>
        <v>2.8</v>
      </c>
      <c r="AG135" s="26"/>
      <c r="AH135" s="47">
        <f>SUM(AH134)</f>
        <v>84000</v>
      </c>
      <c r="AI135" s="26">
        <f>SUM(AI134)</f>
        <v>73920</v>
      </c>
      <c r="AJ135" s="27">
        <f>SUM(AJ134)</f>
        <v>10080</v>
      </c>
      <c r="AK135" s="12"/>
      <c r="AL135" s="12"/>
    </row>
    <row r="136" spans="1:38" s="44" customFormat="1" ht="31.5" customHeight="1">
      <c r="A136" s="144" t="s">
        <v>135</v>
      </c>
      <c r="B136" s="144"/>
      <c r="C136" s="150"/>
      <c r="D136" s="150"/>
      <c r="E136" s="150"/>
      <c r="F136" s="56"/>
      <c r="G136" s="26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2"/>
      <c r="V136" s="32"/>
      <c r="W136" s="32"/>
      <c r="X136" s="32"/>
      <c r="Y136" s="32"/>
      <c r="Z136" s="32"/>
      <c r="AA136" s="30"/>
      <c r="AB136" s="32"/>
      <c r="AC136" s="32"/>
      <c r="AD136" s="32"/>
      <c r="AE136" s="32"/>
      <c r="AF136" s="32"/>
      <c r="AG136" s="32"/>
      <c r="AH136" s="57"/>
      <c r="AI136" s="32"/>
      <c r="AJ136" s="54"/>
      <c r="AK136" s="12"/>
      <c r="AL136" s="12"/>
    </row>
    <row r="137" spans="1:38" s="44" customFormat="1" ht="45" customHeight="1">
      <c r="A137" s="29">
        <v>55</v>
      </c>
      <c r="B137" s="74" t="s">
        <v>136</v>
      </c>
      <c r="C137" s="30" t="s">
        <v>29</v>
      </c>
      <c r="D137" s="30"/>
      <c r="E137" s="36">
        <v>8.32</v>
      </c>
      <c r="F137" s="36"/>
      <c r="G137" s="32">
        <v>203076.71726999999</v>
      </c>
      <c r="H137" s="58"/>
      <c r="I137" s="59"/>
      <c r="J137" s="59"/>
      <c r="K137" s="59"/>
      <c r="L137" s="31"/>
      <c r="M137" s="59"/>
      <c r="N137" s="59"/>
      <c r="O137" s="59"/>
      <c r="P137" s="64"/>
      <c r="Q137" s="65"/>
      <c r="R137" s="59"/>
      <c r="S137" s="59"/>
      <c r="T137" s="31">
        <f>E137</f>
        <v>8.32</v>
      </c>
      <c r="U137" s="32"/>
      <c r="V137" s="32">
        <f>G137</f>
        <v>203076.71726999999</v>
      </c>
      <c r="W137" s="32"/>
      <c r="X137" s="32">
        <f>V137</f>
        <v>203076.71726999999</v>
      </c>
      <c r="Y137" s="32"/>
      <c r="Z137" s="36"/>
      <c r="AA137" s="31"/>
      <c r="AB137" s="32"/>
      <c r="AC137" s="32"/>
      <c r="AD137" s="32"/>
      <c r="AE137" s="32"/>
      <c r="AF137" s="32"/>
      <c r="AG137" s="32"/>
      <c r="AH137" s="57"/>
      <c r="AI137" s="32"/>
      <c r="AJ137" s="54"/>
      <c r="AK137" s="12"/>
      <c r="AL137" s="12"/>
    </row>
    <row r="138" spans="1:38" s="44" customFormat="1" ht="45" hidden="1" customHeight="1">
      <c r="A138" s="29"/>
      <c r="B138" s="74" t="s">
        <v>137</v>
      </c>
      <c r="C138" s="30"/>
      <c r="D138" s="30"/>
      <c r="E138" s="36"/>
      <c r="F138" s="36"/>
      <c r="G138" s="32"/>
      <c r="H138" s="58"/>
      <c r="I138" s="59"/>
      <c r="J138" s="59"/>
      <c r="K138" s="59"/>
      <c r="L138" s="31"/>
      <c r="M138" s="59"/>
      <c r="N138" s="59"/>
      <c r="O138" s="59"/>
      <c r="P138" s="64"/>
      <c r="Q138" s="65"/>
      <c r="R138" s="59"/>
      <c r="S138" s="59"/>
      <c r="T138" s="31"/>
      <c r="U138" s="32"/>
      <c r="V138" s="32"/>
      <c r="W138" s="32"/>
      <c r="X138" s="32"/>
      <c r="Y138" s="32"/>
      <c r="Z138" s="36"/>
      <c r="AA138" s="31"/>
      <c r="AB138" s="32"/>
      <c r="AC138" s="32"/>
      <c r="AD138" s="32"/>
      <c r="AE138" s="32"/>
      <c r="AF138" s="31">
        <f>E138</f>
        <v>0</v>
      </c>
      <c r="AG138" s="32"/>
      <c r="AH138" s="57">
        <f>G138</f>
        <v>0</v>
      </c>
      <c r="AI138" s="57">
        <f>AH138*0.64</f>
        <v>0</v>
      </c>
      <c r="AJ138" s="54">
        <f>AH138-AI138</f>
        <v>0</v>
      </c>
      <c r="AK138" s="12"/>
      <c r="AL138" s="12"/>
    </row>
    <row r="139" spans="1:38" s="44" customFormat="1" ht="27" customHeight="1">
      <c r="A139" s="66"/>
      <c r="B139" s="53" t="s">
        <v>52</v>
      </c>
      <c r="C139" s="30"/>
      <c r="D139" s="30"/>
      <c r="E139" s="73">
        <f>T139+Z139</f>
        <v>14.13</v>
      </c>
      <c r="F139" s="36"/>
      <c r="G139" s="32">
        <f>V139+AB139</f>
        <v>256645.1</v>
      </c>
      <c r="H139" s="58"/>
      <c r="I139" s="59"/>
      <c r="J139" s="59"/>
      <c r="K139" s="59"/>
      <c r="L139" s="31"/>
      <c r="M139" s="59"/>
      <c r="N139" s="59"/>
      <c r="O139" s="59"/>
      <c r="P139" s="64"/>
      <c r="Q139" s="65"/>
      <c r="R139" s="59"/>
      <c r="S139" s="59"/>
      <c r="T139" s="32">
        <v>10.592000000000001</v>
      </c>
      <c r="U139" s="32"/>
      <c r="V139" s="32">
        <v>204675</v>
      </c>
      <c r="W139" s="32"/>
      <c r="X139" s="32">
        <f>V139</f>
        <v>204675</v>
      </c>
      <c r="Y139" s="32"/>
      <c r="Z139" s="73">
        <v>3.5379999999999998</v>
      </c>
      <c r="AA139" s="31"/>
      <c r="AB139" s="32">
        <v>51970.1</v>
      </c>
      <c r="AC139" s="31"/>
      <c r="AD139" s="32">
        <f>AB139</f>
        <v>51970.1</v>
      </c>
      <c r="AE139" s="32"/>
      <c r="AF139" s="32"/>
      <c r="AG139" s="32"/>
      <c r="AH139" s="57"/>
      <c r="AI139" s="32"/>
      <c r="AJ139" s="54"/>
      <c r="AK139" s="12" t="s">
        <v>120</v>
      </c>
      <c r="AL139" s="12"/>
    </row>
    <row r="140" spans="1:38" s="44" customFormat="1" ht="33" customHeight="1">
      <c r="A140" s="151" t="s">
        <v>138</v>
      </c>
      <c r="B140" s="151"/>
      <c r="C140" s="151"/>
      <c r="D140" s="33"/>
      <c r="E140" s="63">
        <f>SUM(E137:E139)</f>
        <v>22.450000000000003</v>
      </c>
      <c r="F140" s="63"/>
      <c r="G140" s="26">
        <f>SUM(G137:G139)</f>
        <v>459721.81727</v>
      </c>
      <c r="H140" s="63" t="e">
        <f>SUM(#REF!)</f>
        <v>#REF!</v>
      </c>
      <c r="I140" s="45" t="e">
        <f>SUM(#REF!)</f>
        <v>#REF!</v>
      </c>
      <c r="J140" s="45" t="e">
        <f>SUM(#REF!)</f>
        <v>#REF!</v>
      </c>
      <c r="K140" s="45"/>
      <c r="L140" s="63" t="e">
        <f>SUM(#REF!)</f>
        <v>#REF!</v>
      </c>
      <c r="M140" s="45" t="e">
        <f>SUM(#REF!)</f>
        <v>#REF!</v>
      </c>
      <c r="N140" s="45" t="e">
        <f>SUM(#REF!)</f>
        <v>#REF!</v>
      </c>
      <c r="O140" s="45" t="e">
        <f>SUM(#REF!)</f>
        <v>#REF!</v>
      </c>
      <c r="P140" s="80">
        <f>SUM(P137:P139)</f>
        <v>0</v>
      </c>
      <c r="Q140" s="45">
        <f>SUM(Q137:Q139)</f>
        <v>0</v>
      </c>
      <c r="R140" s="45">
        <f>SUM(R137:R139)</f>
        <v>0</v>
      </c>
      <c r="S140" s="26">
        <f>SUM(S137:S139)</f>
        <v>0</v>
      </c>
      <c r="T140" s="63">
        <f>SUM(T137:T139)</f>
        <v>18.911999999999999</v>
      </c>
      <c r="U140" s="26"/>
      <c r="V140" s="26">
        <f>SUM(V137:V139)</f>
        <v>407751.71727000002</v>
      </c>
      <c r="W140" s="26"/>
      <c r="X140" s="26">
        <f>SUM(X137:X139)</f>
        <v>407751.71727000002</v>
      </c>
      <c r="Y140" s="26"/>
      <c r="Z140" s="26">
        <f>SUM(Z139:Z139)</f>
        <v>3.5379999999999998</v>
      </c>
      <c r="AA140" s="63"/>
      <c r="AB140" s="26">
        <f>SUM(AB139:AB139)</f>
        <v>51970.1</v>
      </c>
      <c r="AC140" s="26">
        <f>SUM(AC139:AC139)</f>
        <v>0</v>
      </c>
      <c r="AD140" s="26">
        <f>SUM(AD137:AD139)</f>
        <v>51970.1</v>
      </c>
      <c r="AE140" s="26"/>
      <c r="AF140" s="26">
        <f>SUM(AF138:AF139)</f>
        <v>0</v>
      </c>
      <c r="AG140" s="26" t="s">
        <v>62</v>
      </c>
      <c r="AH140" s="47">
        <f>SUM(AH138:AH139)</f>
        <v>0</v>
      </c>
      <c r="AI140" s="26">
        <f>SUM(AI138:AI139)</f>
        <v>0</v>
      </c>
      <c r="AJ140" s="27">
        <f>SUM(AJ138:AJ139)</f>
        <v>0</v>
      </c>
      <c r="AK140" s="12"/>
      <c r="AL140" s="12"/>
    </row>
    <row r="141" spans="1:38" s="44" customFormat="1" ht="31.5" customHeight="1">
      <c r="A141" s="144" t="s">
        <v>139</v>
      </c>
      <c r="B141" s="144"/>
      <c r="C141" s="150"/>
      <c r="D141" s="150"/>
      <c r="E141" s="150"/>
      <c r="F141" s="56"/>
      <c r="G141" s="26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2"/>
      <c r="V141" s="32"/>
      <c r="W141" s="32"/>
      <c r="X141" s="32"/>
      <c r="Y141" s="32"/>
      <c r="Z141" s="32"/>
      <c r="AA141" s="30"/>
      <c r="AB141" s="32"/>
      <c r="AC141" s="32"/>
      <c r="AD141" s="32"/>
      <c r="AE141" s="32"/>
      <c r="AF141" s="32"/>
      <c r="AG141" s="32"/>
      <c r="AH141" s="57"/>
      <c r="AI141" s="32"/>
      <c r="AJ141" s="54"/>
      <c r="AK141" s="12"/>
      <c r="AL141" s="12"/>
    </row>
    <row r="142" spans="1:38" s="44" customFormat="1" ht="36" customHeight="1">
      <c r="A142" s="29">
        <v>56</v>
      </c>
      <c r="B142" s="74" t="s">
        <v>140</v>
      </c>
      <c r="C142" s="30" t="s">
        <v>29</v>
      </c>
      <c r="D142" s="30"/>
      <c r="E142" s="36">
        <v>3.23</v>
      </c>
      <c r="F142" s="32"/>
      <c r="G142" s="32">
        <v>85329.787089999998</v>
      </c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6">
        <f>E142</f>
        <v>3.23</v>
      </c>
      <c r="U142" s="32"/>
      <c r="V142" s="32">
        <f>G142</f>
        <v>85329.787089999998</v>
      </c>
      <c r="W142" s="32"/>
      <c r="X142" s="32">
        <f>V142</f>
        <v>85329.787089999998</v>
      </c>
      <c r="Y142" s="32"/>
      <c r="Z142" s="32"/>
      <c r="AA142" s="30"/>
      <c r="AB142" s="32"/>
      <c r="AC142" s="32"/>
      <c r="AD142" s="32"/>
      <c r="AE142" s="32"/>
      <c r="AF142" s="32"/>
      <c r="AG142" s="32"/>
      <c r="AH142" s="57"/>
      <c r="AI142" s="32"/>
      <c r="AJ142" s="54"/>
      <c r="AK142" s="12"/>
      <c r="AL142" s="12"/>
    </row>
    <row r="143" spans="1:38" s="44" customFormat="1" ht="44.25" customHeight="1">
      <c r="A143" s="29">
        <v>57</v>
      </c>
      <c r="B143" s="74" t="s">
        <v>141</v>
      </c>
      <c r="C143" s="30" t="s">
        <v>46</v>
      </c>
      <c r="D143" s="30"/>
      <c r="E143" s="36">
        <v>6.4</v>
      </c>
      <c r="F143" s="32"/>
      <c r="G143" s="32">
        <f>241187.5221+0.04545+10000</f>
        <v>251187.56755000001</v>
      </c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6"/>
      <c r="U143" s="32"/>
      <c r="V143" s="32"/>
      <c r="W143" s="32"/>
      <c r="X143" s="32"/>
      <c r="Y143" s="32"/>
      <c r="Z143" s="32"/>
      <c r="AA143" s="30"/>
      <c r="AB143" s="32"/>
      <c r="AC143" s="32"/>
      <c r="AD143" s="32"/>
      <c r="AE143" s="32"/>
      <c r="AF143" s="31">
        <f>E143</f>
        <v>6.4</v>
      </c>
      <c r="AG143" s="32"/>
      <c r="AH143" s="57">
        <f>G143</f>
        <v>251187.56755000001</v>
      </c>
      <c r="AI143" s="32">
        <f>AH143*0.88</f>
        <v>221045.05944400001</v>
      </c>
      <c r="AJ143" s="54">
        <f>AH143-AI143</f>
        <v>30142.508105999994</v>
      </c>
      <c r="AK143" s="12"/>
      <c r="AL143" s="12"/>
    </row>
    <row r="144" spans="1:38" s="44" customFormat="1" ht="27" customHeight="1">
      <c r="A144" s="66"/>
      <c r="B144" s="53" t="s">
        <v>52</v>
      </c>
      <c r="C144" s="30"/>
      <c r="D144" s="30"/>
      <c r="E144" s="73">
        <f>T144+Z144</f>
        <v>14.866</v>
      </c>
      <c r="F144" s="36"/>
      <c r="G144" s="32">
        <f>V144+AB144</f>
        <v>174458.2</v>
      </c>
      <c r="H144" s="58"/>
      <c r="I144" s="59"/>
      <c r="J144" s="59"/>
      <c r="K144" s="59"/>
      <c r="L144" s="64"/>
      <c r="M144" s="65"/>
      <c r="N144" s="59"/>
      <c r="O144" s="59"/>
      <c r="P144" s="31"/>
      <c r="Q144" s="59"/>
      <c r="R144" s="59"/>
      <c r="S144" s="59"/>
      <c r="T144" s="32">
        <v>10.202</v>
      </c>
      <c r="U144" s="32"/>
      <c r="V144" s="32">
        <v>132500</v>
      </c>
      <c r="W144" s="32"/>
      <c r="X144" s="32">
        <f>V144</f>
        <v>132500</v>
      </c>
      <c r="Y144" s="32"/>
      <c r="Z144" s="32">
        <v>4.6639999999999997</v>
      </c>
      <c r="AA144" s="79"/>
      <c r="AB144" s="32">
        <v>41958.2</v>
      </c>
      <c r="AC144" s="32"/>
      <c r="AD144" s="32">
        <f>AB144</f>
        <v>41958.2</v>
      </c>
      <c r="AE144" s="32"/>
      <c r="AF144" s="32"/>
      <c r="AG144" s="32"/>
      <c r="AH144" s="57"/>
      <c r="AI144" s="32"/>
      <c r="AJ144" s="54"/>
      <c r="AK144" s="12"/>
      <c r="AL144" s="12"/>
    </row>
    <row r="145" spans="1:39" s="44" customFormat="1" ht="50.25" customHeight="1">
      <c r="A145" s="151" t="s">
        <v>142</v>
      </c>
      <c r="B145" s="151"/>
      <c r="C145" s="151"/>
      <c r="D145" s="33"/>
      <c r="E145" s="26">
        <f>SUM(E142:E144)</f>
        <v>24.496000000000002</v>
      </c>
      <c r="F145" s="26"/>
      <c r="G145" s="26">
        <f>SUM(G142:G144)</f>
        <v>510975.55464000005</v>
      </c>
      <c r="H145" s="63" t="e">
        <f>SUM(#REF!)</f>
        <v>#REF!</v>
      </c>
      <c r="I145" s="45" t="e">
        <f>SUM(#REF!)</f>
        <v>#REF!</v>
      </c>
      <c r="J145" s="45" t="e">
        <f>SUM(#REF!)</f>
        <v>#REF!</v>
      </c>
      <c r="K145" s="45"/>
      <c r="L145" s="63" t="e">
        <f>SUM(#REF!)</f>
        <v>#REF!</v>
      </c>
      <c r="M145" s="45" t="e">
        <f>SUM(#REF!)</f>
        <v>#REF!</v>
      </c>
      <c r="N145" s="45" t="e">
        <f>SUM(#REF!)</f>
        <v>#REF!</v>
      </c>
      <c r="O145" s="45"/>
      <c r="P145" s="26" t="e">
        <f>SUM(#REF!)</f>
        <v>#REF!</v>
      </c>
      <c r="Q145" s="45" t="e">
        <f>SUM(#REF!)</f>
        <v>#REF!</v>
      </c>
      <c r="R145" s="45" t="e">
        <f>SUM(#REF!)</f>
        <v>#REF!</v>
      </c>
      <c r="S145" s="45"/>
      <c r="T145" s="26">
        <f>SUM(T142:T144)</f>
        <v>13.432</v>
      </c>
      <c r="U145" s="26"/>
      <c r="V145" s="26">
        <f>SUM(V142:V144)</f>
        <v>217829.78709</v>
      </c>
      <c r="W145" s="26">
        <f>SUM(W144:W144)</f>
        <v>0</v>
      </c>
      <c r="X145" s="26">
        <f>SUM(X142:X144)</f>
        <v>217829.78709</v>
      </c>
      <c r="Y145" s="26"/>
      <c r="Z145" s="26">
        <f>SUM(Z142:Z144)</f>
        <v>4.6639999999999997</v>
      </c>
      <c r="AA145" s="26"/>
      <c r="AB145" s="26">
        <f>SUM(AB142:AB144)</f>
        <v>41958.2</v>
      </c>
      <c r="AC145" s="26">
        <f>SUM(AC142:AC144)</f>
        <v>0</v>
      </c>
      <c r="AD145" s="26">
        <f>SUM(AD142:AD144)</f>
        <v>41958.2</v>
      </c>
      <c r="AE145" s="26"/>
      <c r="AF145" s="26">
        <f>SUM(AF143:AF144)</f>
        <v>6.4</v>
      </c>
      <c r="AG145" s="26"/>
      <c r="AH145" s="47">
        <f>SUM(AH143:AH144)</f>
        <v>251187.56755000001</v>
      </c>
      <c r="AI145" s="26">
        <f>SUM(AI143:AI144)</f>
        <v>221045.05944400001</v>
      </c>
      <c r="AJ145" s="27">
        <f>SUM(AJ143:AJ144)</f>
        <v>30142.508105999994</v>
      </c>
      <c r="AK145" s="12"/>
      <c r="AL145" s="12"/>
    </row>
    <row r="146" spans="1:39" s="44" customFormat="1" ht="27" hidden="1" customHeight="1">
      <c r="A146" s="61"/>
      <c r="B146" s="81" t="s">
        <v>143</v>
      </c>
      <c r="C146" s="79"/>
      <c r="D146" s="79"/>
      <c r="E146" s="58"/>
      <c r="F146" s="58"/>
      <c r="G146" s="32"/>
      <c r="H146" s="32"/>
      <c r="I146" s="59"/>
      <c r="J146" s="59"/>
      <c r="K146" s="59"/>
      <c r="L146" s="82"/>
      <c r="M146" s="59"/>
      <c r="N146" s="59"/>
      <c r="O146" s="59"/>
      <c r="P146" s="32"/>
      <c r="Q146" s="59"/>
      <c r="R146" s="59"/>
      <c r="S146" s="59"/>
      <c r="T146" s="31"/>
      <c r="U146" s="70"/>
      <c r="V146" s="32"/>
      <c r="W146" s="32"/>
      <c r="X146" s="32"/>
      <c r="Y146" s="32"/>
      <c r="Z146" s="59"/>
      <c r="AA146" s="32"/>
      <c r="AB146" s="70"/>
      <c r="AC146" s="70"/>
      <c r="AD146" s="70"/>
      <c r="AE146" s="70"/>
      <c r="AF146" s="70"/>
      <c r="AG146" s="59"/>
      <c r="AH146" s="83"/>
      <c r="AI146" s="59"/>
      <c r="AJ146" s="84"/>
    </row>
    <row r="147" spans="1:39" s="44" customFormat="1" ht="29.25" hidden="1" customHeight="1">
      <c r="A147" s="61"/>
      <c r="B147" s="53" t="s">
        <v>52</v>
      </c>
      <c r="C147" s="79"/>
      <c r="D147" s="79"/>
      <c r="E147" s="36"/>
      <c r="F147" s="36"/>
      <c r="G147" s="32"/>
      <c r="H147" s="32"/>
      <c r="I147" s="59"/>
      <c r="J147" s="59"/>
      <c r="K147" s="59"/>
      <c r="L147" s="82"/>
      <c r="M147" s="59"/>
      <c r="N147" s="59"/>
      <c r="O147" s="59"/>
      <c r="P147" s="32"/>
      <c r="Q147" s="59"/>
      <c r="R147" s="59"/>
      <c r="S147" s="59"/>
      <c r="T147" s="31"/>
      <c r="U147" s="70"/>
      <c r="V147" s="32"/>
      <c r="W147" s="32"/>
      <c r="X147" s="32"/>
      <c r="Y147" s="32"/>
      <c r="Z147" s="59"/>
      <c r="AA147" s="32"/>
      <c r="AB147" s="70"/>
      <c r="AC147" s="70"/>
      <c r="AD147" s="70"/>
      <c r="AE147" s="70"/>
      <c r="AF147" s="70"/>
      <c r="AG147" s="59"/>
      <c r="AH147" s="83"/>
      <c r="AI147" s="59"/>
      <c r="AJ147" s="84"/>
    </row>
    <row r="148" spans="1:39" s="44" customFormat="1" ht="34.5" hidden="1" customHeight="1">
      <c r="A148" s="147" t="s">
        <v>144</v>
      </c>
      <c r="B148" s="147"/>
      <c r="C148" s="147"/>
      <c r="D148" s="79"/>
      <c r="E148" s="85">
        <f>SUM(E147)</f>
        <v>0</v>
      </c>
      <c r="F148" s="85"/>
      <c r="G148" s="26">
        <f>SUM(G147)</f>
        <v>0</v>
      </c>
      <c r="H148" s="32"/>
      <c r="I148" s="59"/>
      <c r="J148" s="59"/>
      <c r="K148" s="59"/>
      <c r="L148" s="82"/>
      <c r="M148" s="59"/>
      <c r="N148" s="59"/>
      <c r="O148" s="59"/>
      <c r="P148" s="32"/>
      <c r="Q148" s="59"/>
      <c r="R148" s="59"/>
      <c r="S148" s="59"/>
      <c r="T148" s="86">
        <f>SUM(T147)</f>
        <v>0</v>
      </c>
      <c r="U148" s="85"/>
      <c r="V148" s="26">
        <f>SUM(V147)</f>
        <v>0</v>
      </c>
      <c r="W148" s="70"/>
      <c r="X148" s="26">
        <f>SUM(X147)</f>
        <v>0</v>
      </c>
      <c r="Y148" s="26"/>
      <c r="Z148" s="59"/>
      <c r="AA148" s="32"/>
      <c r="AB148" s="70"/>
      <c r="AC148" s="70"/>
      <c r="AD148" s="70"/>
      <c r="AE148" s="70"/>
      <c r="AF148" s="70"/>
      <c r="AG148" s="59"/>
      <c r="AH148" s="83"/>
      <c r="AI148" s="59"/>
      <c r="AJ148" s="84"/>
    </row>
    <row r="149" spans="1:39" s="44" customFormat="1" ht="25.5" customHeight="1">
      <c r="A149" s="61"/>
      <c r="B149" s="53" t="s">
        <v>145</v>
      </c>
      <c r="C149" s="79"/>
      <c r="D149" s="79"/>
      <c r="E149" s="58"/>
      <c r="F149" s="58"/>
      <c r="G149" s="32">
        <f>V149+AB149</f>
        <v>3.1999999999534339</v>
      </c>
      <c r="H149" s="32"/>
      <c r="I149" s="59"/>
      <c r="J149" s="59"/>
      <c r="K149" s="59"/>
      <c r="L149" s="82"/>
      <c r="M149" s="59"/>
      <c r="N149" s="59"/>
      <c r="O149" s="59"/>
      <c r="P149" s="32"/>
      <c r="Q149" s="59"/>
      <c r="R149" s="59"/>
      <c r="S149" s="59"/>
      <c r="T149" s="31"/>
      <c r="U149" s="70"/>
      <c r="V149" s="32">
        <f>W149+X149</f>
        <v>3.1999999999534339</v>
      </c>
      <c r="W149" s="32">
        <f>1756093.2-1756090</f>
        <v>3.1999999999534339</v>
      </c>
      <c r="X149" s="32"/>
      <c r="Y149" s="32"/>
      <c r="Z149" s="59"/>
      <c r="AA149" s="32"/>
      <c r="AB149" s="32"/>
      <c r="AC149" s="32"/>
      <c r="AD149" s="32"/>
      <c r="AE149" s="70"/>
      <c r="AF149" s="70"/>
      <c r="AG149" s="59"/>
      <c r="AH149" s="83"/>
      <c r="AI149" s="59"/>
      <c r="AJ149" s="84"/>
    </row>
    <row r="150" spans="1:39" s="88" customFormat="1" ht="39.75" hidden="1" customHeight="1">
      <c r="A150" s="87"/>
      <c r="B150" s="148" t="s">
        <v>25</v>
      </c>
      <c r="C150" s="148"/>
      <c r="D150" s="148"/>
      <c r="E150" s="148"/>
      <c r="F150" s="148"/>
      <c r="G150" s="148"/>
      <c r="H150" s="148"/>
      <c r="I150" s="148"/>
      <c r="J150" s="148"/>
      <c r="K150" s="148"/>
      <c r="L150" s="148"/>
      <c r="M150" s="148"/>
      <c r="N150" s="148"/>
      <c r="O150" s="148"/>
      <c r="P150" s="148"/>
      <c r="Q150" s="148"/>
      <c r="R150" s="148"/>
      <c r="S150" s="148"/>
      <c r="T150" s="148"/>
      <c r="U150" s="148"/>
      <c r="V150" s="148"/>
      <c r="W150" s="148"/>
      <c r="X150" s="148"/>
      <c r="Y150" s="148"/>
      <c r="Z150" s="148"/>
      <c r="AA150" s="148"/>
      <c r="AB150" s="148"/>
      <c r="AC150" s="148"/>
      <c r="AD150" s="148"/>
      <c r="AE150" s="148"/>
      <c r="AF150" s="148"/>
      <c r="AG150" s="148"/>
      <c r="AH150" s="148"/>
      <c r="AI150" s="24"/>
      <c r="AJ150" s="25"/>
    </row>
    <row r="151" spans="1:39" s="88" customFormat="1" ht="54.75" customHeight="1">
      <c r="A151" s="89">
        <v>3</v>
      </c>
      <c r="B151" s="52" t="s">
        <v>146</v>
      </c>
      <c r="C151" s="38"/>
      <c r="D151" s="24"/>
      <c r="E151" s="24"/>
      <c r="F151" s="90">
        <f>SUM(F161:F200)</f>
        <v>1622.0700000000004</v>
      </c>
      <c r="G151" s="90">
        <f>SUM(G161:G200)</f>
        <v>1736944.7767499997</v>
      </c>
      <c r="H151" s="90" t="e">
        <f>H161+#REF!+H170+H171+H183+H190+H191+H192+H193+H194+H198+H200</f>
        <v>#REF!</v>
      </c>
      <c r="I151" s="90" t="e">
        <f>I161+#REF!+I170+I171+I183+I190+I191+I192+I193+I194+I198+I200</f>
        <v>#REF!</v>
      </c>
      <c r="J151" s="90" t="e">
        <f>J161+#REF!+J170+J171+J183+J190+J191+J192+J193+J194+J198+J200</f>
        <v>#REF!</v>
      </c>
      <c r="K151" s="90" t="e">
        <f>K161+#REF!+K170+K171+K183+K190+K191+K192+K193+K194+K198+K200</f>
        <v>#REF!</v>
      </c>
      <c r="L151" s="90" t="e">
        <f>L161+#REF!+L170+L171+L183+L190+L191+L192+L193+L194+L198+L200</f>
        <v>#REF!</v>
      </c>
      <c r="M151" s="90" t="e">
        <f>M161+#REF!+M170+M171+M183+M190+M191+M192+M193+M194+M198+M200</f>
        <v>#REF!</v>
      </c>
      <c r="N151" s="90" t="e">
        <f>N161+#REF!+N170+N171+N183+N190+N191+N192+N193+N194+N198+N200</f>
        <v>#REF!</v>
      </c>
      <c r="O151" s="90" t="e">
        <f>O161+#REF!+O170+O171+O183+O190+O191+O192+O193+O194+O198+O200</f>
        <v>#REF!</v>
      </c>
      <c r="P151" s="90" t="e">
        <f>P161+#REF!+P170+P171+P183+P190+P191+P192+P193+P194+P198+P200</f>
        <v>#REF!</v>
      </c>
      <c r="Q151" s="90" t="e">
        <f>Q161+#REF!+Q170+Q171+Q183+Q190+Q191+Q192+Q193+Q194+Q198+Q200</f>
        <v>#REF!</v>
      </c>
      <c r="R151" s="90" t="e">
        <f>R161+#REF!+R170+R171+R183+R190+R191+R192+R193+R194+R198+R200</f>
        <v>#REF!</v>
      </c>
      <c r="S151" s="90" t="e">
        <f>S161+#REF!+S170+S171+S183+S190+S191+S192+S193+S194+S198+S200</f>
        <v>#REF!</v>
      </c>
      <c r="T151" s="90"/>
      <c r="U151" s="90">
        <f>U170+U171+U183+U190+U191+U192+U193+U194+U198+U200</f>
        <v>833.83999999999992</v>
      </c>
      <c r="V151" s="90">
        <f>V167+V170+V171+V176+V183+V190+V191+V192+V193+V194+V198+V200</f>
        <v>653310.36275000009</v>
      </c>
      <c r="W151" s="90"/>
      <c r="X151" s="90">
        <f>X167+X170+X171+X176+X183+X190+X191+X192+X193+X194+X198+X200+0.03</f>
        <v>634714.25479000004</v>
      </c>
      <c r="Y151" s="90">
        <f>Y167+Y170+Y171+Y176+Y183+Y190+Y191+Y192+Y193+Y194+Y198+Y200</f>
        <v>18596.137960000011</v>
      </c>
      <c r="Z151" s="90"/>
      <c r="AA151" s="135">
        <f>AA161+AA167+AA168+AA172+AA174+AA176+AA179+AA181+AA184+AA186+AA188</f>
        <v>788.23</v>
      </c>
      <c r="AB151" s="90">
        <f>AB161+AB167+AB168+AB172+AB174+AB176+AB179+AB181+AB184+AB186+AB188</f>
        <v>872909.81400000001</v>
      </c>
      <c r="AC151" s="90"/>
      <c r="AD151" s="90">
        <f>AD161+AD167+AD168+AD172+AD174+AD176+AD179+AD181+AD184+AD186+AD188</f>
        <v>845309.41716000007</v>
      </c>
      <c r="AE151" s="90">
        <f>AE161+AE167+AE168+AE172+AE176+AE179+AE181+AE184+AE186+AE188</f>
        <v>27600.396840000001</v>
      </c>
      <c r="AF151" s="24"/>
      <c r="AG151" s="90"/>
      <c r="AH151" s="90"/>
      <c r="AI151" s="38"/>
      <c r="AJ151" s="91">
        <f>AJ162+AJ164+AJ165+AJ195+AJ196</f>
        <v>0</v>
      </c>
      <c r="AK151" s="92"/>
      <c r="AL151" s="92"/>
    </row>
    <row r="152" spans="1:39" s="88" customFormat="1" ht="24" customHeight="1">
      <c r="A152" s="39"/>
      <c r="B152" s="93" t="s">
        <v>18</v>
      </c>
      <c r="C152" s="38"/>
      <c r="D152" s="24"/>
      <c r="E152" s="24"/>
      <c r="F152" s="38"/>
      <c r="G152" s="38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D152" s="24"/>
      <c r="AE152" s="24"/>
      <c r="AF152" s="24"/>
      <c r="AG152" s="24"/>
      <c r="AH152" s="28"/>
      <c r="AI152" s="24"/>
      <c r="AJ152" s="25"/>
    </row>
    <row r="153" spans="1:39" s="88" customFormat="1" ht="30" customHeight="1">
      <c r="A153" s="39"/>
      <c r="B153" s="52" t="s">
        <v>147</v>
      </c>
      <c r="C153" s="38"/>
      <c r="D153" s="24"/>
      <c r="E153" s="38"/>
      <c r="F153" s="90">
        <f>F162+F164+F165+F171+F167+F168+F172+F174+F176+F177+F179+F181+F183+F184+F188+F191+F192+F193+F194+F195+F196+F198</f>
        <v>1063.76</v>
      </c>
      <c r="G153" s="90">
        <f>G162+G164+G165+G171+G167+G168+G172+G174+G176+G177+G179+G181+G183+G184+G188+G191+G192+G193+G194+G195+G196+G198</f>
        <v>898351.11716000014</v>
      </c>
      <c r="H153" s="90" t="e">
        <f>#REF!+H171+H183+H191+H192+H193+H194+H198</f>
        <v>#REF!</v>
      </c>
      <c r="I153" s="90" t="e">
        <f>#REF!+I171+I183+I191+I192+I193+I194+I198</f>
        <v>#REF!</v>
      </c>
      <c r="J153" s="90" t="e">
        <f>#REF!+J171+J183+J191+J192+J193+J194+J198</f>
        <v>#REF!</v>
      </c>
      <c r="K153" s="90" t="e">
        <f>#REF!+K171+K183+K191+K192+K193+K194+K198</f>
        <v>#REF!</v>
      </c>
      <c r="L153" s="90" t="e">
        <f>#REF!+L171+L183+L191+L192+L193+L194+L198</f>
        <v>#REF!</v>
      </c>
      <c r="M153" s="90" t="e">
        <f>#REF!+M171+M183+M191+M192+M193+M194+M198</f>
        <v>#REF!</v>
      </c>
      <c r="N153" s="90" t="e">
        <f>#REF!+N171+N183+N191+N192+N193+N194+N198</f>
        <v>#REF!</v>
      </c>
      <c r="O153" s="90" t="e">
        <f>#REF!+O171+O183+O191+O192+O193+O194+O198</f>
        <v>#REF!</v>
      </c>
      <c r="P153" s="90" t="e">
        <f>#REF!+P171+P183+P191+P192+P193+P194+P198</f>
        <v>#REF!</v>
      </c>
      <c r="Q153" s="90" t="e">
        <f>#REF!+Q171+Q183+Q191+Q192+Q193+Q194+Q198</f>
        <v>#REF!</v>
      </c>
      <c r="R153" s="90" t="e">
        <f>#REF!+R171+R183+R191+R192+R193+R194+R198</f>
        <v>#REF!</v>
      </c>
      <c r="S153" s="90" t="e">
        <f>#REF!+S171+S183+S191+S192+S193+S194+S198</f>
        <v>#REF!</v>
      </c>
      <c r="T153" s="90"/>
      <c r="U153" s="90">
        <f>U171+U183+U191+U192+U193+U194+U198</f>
        <v>565.01</v>
      </c>
      <c r="V153" s="90">
        <f>V167+V171+V176+V183+V191+V192+V193+V194+V198+0.04</f>
        <v>368535.95716000005</v>
      </c>
      <c r="W153" s="90"/>
      <c r="X153" s="90">
        <f>X167+X171+X176+X183+X191+X192+X193+X194+X198+0.04</f>
        <v>368535.95716000005</v>
      </c>
      <c r="Y153" s="90"/>
      <c r="Z153" s="90"/>
      <c r="AA153" s="135">
        <f>AA167+AA168+AA172+AA174+AA176+AA179+AA181+AA184+AA188</f>
        <v>498.74999999999994</v>
      </c>
      <c r="AB153" s="90">
        <f>AB167+AB168+AB172+AB174+AB176+AB179+AB181+AB184+AB188</f>
        <v>412903.2</v>
      </c>
      <c r="AC153" s="90"/>
      <c r="AD153" s="90">
        <f>AD167+AD168+AD172+AD174+AD176+AD179+AD181+AD184+AD188</f>
        <v>412903.2</v>
      </c>
      <c r="AE153" s="90"/>
      <c r="AF153" s="24"/>
      <c r="AG153" s="90"/>
      <c r="AH153" s="90"/>
      <c r="AI153" s="24"/>
      <c r="AJ153" s="91">
        <f>SUM(AJ154:AJ156)</f>
        <v>0</v>
      </c>
      <c r="AK153" s="92">
        <f>AH151+AB151+V151</f>
        <v>1526220.1767500001</v>
      </c>
      <c r="AL153" s="92">
        <f>G151-AK153</f>
        <v>210724.59999999963</v>
      </c>
      <c r="AM153" s="88" t="s">
        <v>148</v>
      </c>
    </row>
    <row r="154" spans="1:39" s="88" customFormat="1" ht="32.25" hidden="1" customHeight="1">
      <c r="A154" s="39"/>
      <c r="B154" s="93" t="s">
        <v>149</v>
      </c>
      <c r="C154" s="38"/>
      <c r="D154" s="24"/>
      <c r="E154" s="38"/>
      <c r="F154" s="94">
        <f>F162</f>
        <v>0</v>
      </c>
      <c r="G154" s="94">
        <f>G162</f>
        <v>0</v>
      </c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  <c r="AA154" s="90"/>
      <c r="AB154" s="90"/>
      <c r="AC154" s="90"/>
      <c r="AD154" s="90"/>
      <c r="AE154" s="90"/>
      <c r="AF154" s="24"/>
      <c r="AG154" s="94"/>
      <c r="AH154" s="94"/>
      <c r="AI154" s="90"/>
      <c r="AJ154" s="95">
        <f>AJ162</f>
        <v>0</v>
      </c>
      <c r="AK154" s="92"/>
      <c r="AL154" s="92"/>
    </row>
    <row r="155" spans="1:39" s="88" customFormat="1" ht="28.5" customHeight="1">
      <c r="A155" s="39"/>
      <c r="B155" s="93" t="s">
        <v>150</v>
      </c>
      <c r="C155" s="24"/>
      <c r="D155" s="24"/>
      <c r="E155" s="38"/>
      <c r="F155" s="94">
        <f>F164+F167+F176+F195</f>
        <v>145.25</v>
      </c>
      <c r="G155" s="94">
        <f>G164+G167+G176+G195</f>
        <v>347480.56552</v>
      </c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4"/>
      <c r="V155" s="94">
        <f>V167+V176</f>
        <v>64999.971890000001</v>
      </c>
      <c r="W155" s="90"/>
      <c r="X155" s="94">
        <f>X167+X176</f>
        <v>64999.971890000001</v>
      </c>
      <c r="Y155" s="90"/>
      <c r="Z155" s="90"/>
      <c r="AA155" s="94">
        <f>AA167+AA176</f>
        <v>145.25</v>
      </c>
      <c r="AB155" s="94">
        <f>AB167+AB176</f>
        <v>282480.59363000002</v>
      </c>
      <c r="AC155" s="90"/>
      <c r="AD155" s="94">
        <f>AD167+AD176</f>
        <v>282480.59363000002</v>
      </c>
      <c r="AE155" s="94"/>
      <c r="AF155" s="24"/>
      <c r="AG155" s="94"/>
      <c r="AH155" s="94"/>
      <c r="AI155" s="90"/>
      <c r="AJ155" s="95">
        <f>AJ164+AJ195</f>
        <v>0</v>
      </c>
      <c r="AL155" s="96">
        <f>SUM(AL156:AL157)</f>
        <v>210724.62988000002</v>
      </c>
    </row>
    <row r="156" spans="1:39" s="88" customFormat="1" ht="27.75" customHeight="1">
      <c r="A156" s="39"/>
      <c r="B156" s="93" t="s">
        <v>151</v>
      </c>
      <c r="C156" s="38"/>
      <c r="D156" s="24"/>
      <c r="E156" s="38"/>
      <c r="F156" s="94">
        <f>F153-F154-F155</f>
        <v>918.51</v>
      </c>
      <c r="G156" s="94">
        <f>G153-G154-G155</f>
        <v>550870.55164000019</v>
      </c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4">
        <f>U153-U155</f>
        <v>565.01</v>
      </c>
      <c r="V156" s="94">
        <f>V153-V155</f>
        <v>303535.98527000006</v>
      </c>
      <c r="W156" s="90"/>
      <c r="X156" s="94">
        <f>X153-X155</f>
        <v>303535.98527000006</v>
      </c>
      <c r="Y156" s="90"/>
      <c r="Z156" s="90"/>
      <c r="AA156" s="94">
        <f>AA153-AA155</f>
        <v>353.49999999999994</v>
      </c>
      <c r="AB156" s="94">
        <f>AB153-AB155</f>
        <v>130422.60636999999</v>
      </c>
      <c r="AC156" s="90"/>
      <c r="AD156" s="94">
        <f>AD153-AD155</f>
        <v>130422.60636999999</v>
      </c>
      <c r="AE156" s="90"/>
      <c r="AF156" s="24"/>
      <c r="AG156" s="94"/>
      <c r="AH156" s="94"/>
      <c r="AI156" s="24"/>
      <c r="AJ156" s="95">
        <f>AJ165+AJ196</f>
        <v>0</v>
      </c>
      <c r="AL156" s="92">
        <f>AK191+AK192+AK193+AK194+AK198</f>
        <v>116912</v>
      </c>
    </row>
    <row r="157" spans="1:39" s="88" customFormat="1" ht="30" customHeight="1">
      <c r="A157" s="39"/>
      <c r="B157" s="52" t="s">
        <v>152</v>
      </c>
      <c r="C157" s="38"/>
      <c r="D157" s="24"/>
      <c r="E157" s="38"/>
      <c r="F157" s="90">
        <f>F161+F170+F186+F190+F200</f>
        <v>558.30999999999995</v>
      </c>
      <c r="G157" s="90">
        <f>G161+G170+G186+G190+G200</f>
        <v>838593.65959000005</v>
      </c>
      <c r="H157" s="97"/>
      <c r="I157" s="97"/>
      <c r="J157" s="97"/>
      <c r="K157" s="97"/>
      <c r="L157" s="97"/>
      <c r="M157" s="97"/>
      <c r="N157" s="97"/>
      <c r="O157" s="97"/>
      <c r="P157" s="97"/>
      <c r="Q157" s="97"/>
      <c r="R157" s="97"/>
      <c r="S157" s="97"/>
      <c r="T157" s="97"/>
      <c r="U157" s="90">
        <f>U170+U190+U200</f>
        <v>268.83000000000004</v>
      </c>
      <c r="V157" s="90">
        <f>V170+V190+V200</f>
        <v>284774.44559000002</v>
      </c>
      <c r="W157" s="90"/>
      <c r="X157" s="90">
        <f>X170+X190+X200</f>
        <v>266178.30763</v>
      </c>
      <c r="Y157" s="90">
        <f>Y170+Y190+Y200</f>
        <v>18596.137960000011</v>
      </c>
      <c r="Z157" s="24"/>
      <c r="AA157" s="135">
        <f>AA161+AA186</f>
        <v>289.48</v>
      </c>
      <c r="AB157" s="90">
        <f>AB161+AB186</f>
        <v>460006.614</v>
      </c>
      <c r="AC157" s="90"/>
      <c r="AD157" s="90">
        <f>AD161+AD186</f>
        <v>432406.21716</v>
      </c>
      <c r="AE157" s="90">
        <f>SUM(AE161:AE200)</f>
        <v>27600.396840000001</v>
      </c>
      <c r="AF157" s="24"/>
      <c r="AG157" s="38"/>
      <c r="AH157" s="28"/>
      <c r="AI157" s="24"/>
      <c r="AJ157" s="25"/>
      <c r="AK157" s="92">
        <f>AB157+V157</f>
        <v>744781.05958999996</v>
      </c>
      <c r="AL157" s="92">
        <f>AL158+AL159</f>
        <v>93812.629880000037</v>
      </c>
      <c r="AM157" s="88" t="s">
        <v>148</v>
      </c>
    </row>
    <row r="158" spans="1:39" s="88" customFormat="1" ht="28.5" customHeight="1">
      <c r="A158" s="39"/>
      <c r="B158" s="93" t="s">
        <v>150</v>
      </c>
      <c r="C158" s="38"/>
      <c r="D158" s="24"/>
      <c r="E158" s="38"/>
      <c r="F158" s="94">
        <f>F170+ F186</f>
        <v>336.96000000000004</v>
      </c>
      <c r="G158" s="94">
        <f>G170+ G186</f>
        <v>521559.9</v>
      </c>
      <c r="H158" s="97"/>
      <c r="I158" s="97"/>
      <c r="J158" s="97"/>
      <c r="K158" s="97"/>
      <c r="L158" s="97"/>
      <c r="M158" s="97"/>
      <c r="N158" s="97"/>
      <c r="O158" s="97"/>
      <c r="P158" s="97"/>
      <c r="Q158" s="97"/>
      <c r="R158" s="97"/>
      <c r="S158" s="97"/>
      <c r="T158" s="97"/>
      <c r="U158" s="94">
        <f>U170</f>
        <v>120.68</v>
      </c>
      <c r="V158" s="94">
        <f>V170</f>
        <v>105208.8</v>
      </c>
      <c r="W158" s="90"/>
      <c r="X158" s="94">
        <f>X170</f>
        <v>98896.3</v>
      </c>
      <c r="Y158" s="94">
        <f>Y170</f>
        <v>6312.5</v>
      </c>
      <c r="Z158" s="24"/>
      <c r="AA158" s="94">
        <f>AA170+ AA186</f>
        <v>216.28</v>
      </c>
      <c r="AB158" s="94">
        <f>AB170+ AB186</f>
        <v>375000</v>
      </c>
      <c r="AC158" s="90"/>
      <c r="AD158" s="94">
        <f>AD170+ AD186</f>
        <v>352500</v>
      </c>
      <c r="AE158" s="94">
        <f>AE170+ AE186</f>
        <v>22500</v>
      </c>
      <c r="AF158" s="24"/>
      <c r="AG158" s="38"/>
      <c r="AH158" s="28"/>
      <c r="AI158" s="24"/>
      <c r="AJ158" s="25"/>
      <c r="AK158" s="92">
        <f>AB158+V158</f>
        <v>480208.8</v>
      </c>
      <c r="AL158" s="92">
        <f>G158-AK158</f>
        <v>41351.100000000035</v>
      </c>
    </row>
    <row r="159" spans="1:39" s="88" customFormat="1" ht="30" customHeight="1">
      <c r="A159" s="39"/>
      <c r="B159" s="93" t="s">
        <v>151</v>
      </c>
      <c r="C159" s="38"/>
      <c r="D159" s="24"/>
      <c r="E159" s="38"/>
      <c r="F159" s="94">
        <f>F157-F158</f>
        <v>221.34999999999991</v>
      </c>
      <c r="G159" s="94">
        <f>G157-G158</f>
        <v>317033.75959000003</v>
      </c>
      <c r="H159" s="97"/>
      <c r="I159" s="97"/>
      <c r="J159" s="97"/>
      <c r="K159" s="97"/>
      <c r="L159" s="97"/>
      <c r="M159" s="97"/>
      <c r="N159" s="97"/>
      <c r="O159" s="97"/>
      <c r="P159" s="97"/>
      <c r="Q159" s="97"/>
      <c r="R159" s="97"/>
      <c r="S159" s="97"/>
      <c r="T159" s="97"/>
      <c r="U159" s="94">
        <f>U157-U158</f>
        <v>148.15000000000003</v>
      </c>
      <c r="V159" s="94">
        <f>V157-V158</f>
        <v>179565.64559000003</v>
      </c>
      <c r="W159" s="90"/>
      <c r="X159" s="94">
        <f>X157-X158</f>
        <v>167282.00763000001</v>
      </c>
      <c r="Y159" s="94">
        <f>Y157-Y158</f>
        <v>12283.637960000011</v>
      </c>
      <c r="Z159" s="24"/>
      <c r="AA159" s="94">
        <f>AA157-AA158</f>
        <v>73.200000000000017</v>
      </c>
      <c r="AB159" s="94">
        <f>AB157-AB158</f>
        <v>85006.614000000001</v>
      </c>
      <c r="AC159" s="90"/>
      <c r="AD159" s="94">
        <f>AD157-AD158</f>
        <v>79906.21716</v>
      </c>
      <c r="AE159" s="94">
        <f>AE157-AE158</f>
        <v>5100.3968400000012</v>
      </c>
      <c r="AF159" s="24"/>
      <c r="AG159" s="38"/>
      <c r="AH159" s="28"/>
      <c r="AI159" s="24"/>
      <c r="AJ159" s="25"/>
      <c r="AK159" s="92">
        <f>AB159+V159</f>
        <v>264572.25959000003</v>
      </c>
      <c r="AL159" s="92">
        <f>AK190+AK200</f>
        <v>52461.529880000002</v>
      </c>
    </row>
    <row r="160" spans="1:39" s="88" customFormat="1" ht="33" customHeight="1">
      <c r="A160" s="144" t="s">
        <v>27</v>
      </c>
      <c r="B160" s="144"/>
      <c r="C160" s="24"/>
      <c r="D160" s="24"/>
      <c r="E160" s="24"/>
      <c r="F160" s="24"/>
      <c r="G160" s="26"/>
      <c r="H160" s="24"/>
      <c r="I160" s="24"/>
      <c r="J160" s="24"/>
      <c r="K160" s="24"/>
      <c r="L160" s="24"/>
      <c r="M160" s="24"/>
      <c r="N160" s="24"/>
      <c r="O160" s="24"/>
      <c r="P160" s="24"/>
      <c r="Q160" s="24"/>
      <c r="R160" s="24"/>
      <c r="S160" s="24"/>
      <c r="T160" s="24"/>
      <c r="U160" s="24"/>
      <c r="V160" s="26"/>
      <c r="W160" s="26"/>
      <c r="X160" s="26"/>
      <c r="Y160" s="26"/>
      <c r="Z160" s="24"/>
      <c r="AA160" s="45"/>
      <c r="AB160" s="26"/>
      <c r="AC160" s="26"/>
      <c r="AD160" s="26"/>
      <c r="AE160" s="26"/>
      <c r="AF160" s="24"/>
      <c r="AG160" s="24"/>
      <c r="AH160" s="28"/>
      <c r="AI160" s="24"/>
      <c r="AJ160" s="25"/>
    </row>
    <row r="161" spans="1:37" s="88" customFormat="1" ht="81.75" customHeight="1">
      <c r="A161" s="29">
        <v>1</v>
      </c>
      <c r="B161" s="71" t="s">
        <v>153</v>
      </c>
      <c r="C161" s="24"/>
      <c r="D161" s="24"/>
      <c r="E161" s="24"/>
      <c r="F161" s="32">
        <v>73.2</v>
      </c>
      <c r="G161" s="32">
        <v>85006.614000000001</v>
      </c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4"/>
      <c r="S161" s="24"/>
      <c r="T161" s="24"/>
      <c r="U161" s="24"/>
      <c r="V161" s="26"/>
      <c r="W161" s="26"/>
      <c r="X161" s="26"/>
      <c r="Y161" s="26"/>
      <c r="Z161" s="24"/>
      <c r="AA161" s="32">
        <f>F161</f>
        <v>73.2</v>
      </c>
      <c r="AB161" s="32">
        <v>85006.614000000001</v>
      </c>
      <c r="AC161" s="26"/>
      <c r="AD161" s="32">
        <f>AB161-AE161</f>
        <v>79906.21716</v>
      </c>
      <c r="AE161" s="32">
        <f>AB161*0.06</f>
        <v>5100.3968400000003</v>
      </c>
      <c r="AF161" s="24"/>
      <c r="AG161" s="24"/>
      <c r="AH161" s="28"/>
      <c r="AI161" s="24"/>
      <c r="AJ161" s="25"/>
    </row>
    <row r="162" spans="1:37" s="88" customFormat="1" ht="113.25" hidden="1" customHeight="1">
      <c r="A162" s="98"/>
      <c r="B162" s="71" t="s">
        <v>154</v>
      </c>
      <c r="C162" s="24"/>
      <c r="D162" s="24"/>
      <c r="E162" s="24"/>
      <c r="F162" s="32"/>
      <c r="G162" s="32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4"/>
      <c r="S162" s="24"/>
      <c r="T162" s="24"/>
      <c r="U162" s="24"/>
      <c r="V162" s="26"/>
      <c r="W162" s="26"/>
      <c r="X162" s="26"/>
      <c r="Y162" s="26"/>
      <c r="Z162" s="24"/>
      <c r="AA162" s="32"/>
      <c r="AB162" s="32"/>
      <c r="AC162" s="26"/>
      <c r="AD162" s="32"/>
      <c r="AE162" s="32"/>
      <c r="AF162" s="24"/>
      <c r="AG162" s="32"/>
      <c r="AH162" s="32"/>
      <c r="AI162" s="26"/>
      <c r="AJ162" s="54"/>
    </row>
    <row r="163" spans="1:37" s="88" customFormat="1" ht="31.5" hidden="1" customHeight="1">
      <c r="A163" s="149" t="s">
        <v>40</v>
      </c>
      <c r="B163" s="149"/>
      <c r="C163" s="24"/>
      <c r="D163" s="24"/>
      <c r="E163" s="24"/>
      <c r="F163" s="24"/>
      <c r="G163" s="26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4"/>
      <c r="S163" s="24"/>
      <c r="T163" s="24"/>
      <c r="U163" s="24"/>
      <c r="V163" s="26"/>
      <c r="W163" s="26"/>
      <c r="X163" s="26" t="s">
        <v>120</v>
      </c>
      <c r="Y163" s="26"/>
      <c r="Z163" s="24"/>
      <c r="AA163" s="45"/>
      <c r="AB163" s="26"/>
      <c r="AC163" s="26"/>
      <c r="AD163" s="26"/>
      <c r="AE163" s="26"/>
      <c r="AF163" s="24"/>
      <c r="AG163" s="24"/>
      <c r="AH163" s="28"/>
      <c r="AI163" s="24"/>
      <c r="AJ163" s="25"/>
    </row>
    <row r="164" spans="1:37" s="88" customFormat="1" ht="71.25" hidden="1" customHeight="1">
      <c r="A164" s="29">
        <v>2</v>
      </c>
      <c r="B164" s="71" t="s">
        <v>155</v>
      </c>
      <c r="C164" s="24"/>
      <c r="D164" s="24"/>
      <c r="E164" s="24"/>
      <c r="F164" s="32"/>
      <c r="G164" s="32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4"/>
      <c r="S164" s="24"/>
      <c r="T164" s="24"/>
      <c r="U164" s="24"/>
      <c r="V164" s="26" t="s">
        <v>45</v>
      </c>
      <c r="W164" s="26" t="s">
        <v>62</v>
      </c>
      <c r="X164" s="26"/>
      <c r="Y164" s="26"/>
      <c r="Z164" s="24" t="s">
        <v>64</v>
      </c>
      <c r="AA164" s="32"/>
      <c r="AB164" s="32"/>
      <c r="AC164" s="26"/>
      <c r="AD164" s="32"/>
      <c r="AE164" s="26"/>
      <c r="AF164" s="24"/>
      <c r="AG164" s="32">
        <f>F164</f>
        <v>0</v>
      </c>
      <c r="AH164" s="32">
        <f>G164</f>
        <v>0</v>
      </c>
      <c r="AI164" s="26"/>
      <c r="AJ164" s="54">
        <f>AH164</f>
        <v>0</v>
      </c>
    </row>
    <row r="165" spans="1:37" s="88" customFormat="1" ht="70.5" hidden="1" customHeight="1">
      <c r="A165" s="29">
        <v>3</v>
      </c>
      <c r="B165" s="71" t="s">
        <v>156</v>
      </c>
      <c r="C165" s="24"/>
      <c r="D165" s="24"/>
      <c r="E165" s="24"/>
      <c r="F165" s="32"/>
      <c r="G165" s="32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4"/>
      <c r="S165" s="24"/>
      <c r="T165" s="24"/>
      <c r="U165" s="24"/>
      <c r="V165" s="26" t="s">
        <v>48</v>
      </c>
      <c r="W165" s="26"/>
      <c r="X165" s="26"/>
      <c r="Y165" s="26"/>
      <c r="Z165" s="24"/>
      <c r="AA165" s="32"/>
      <c r="AB165" s="32"/>
      <c r="AC165" s="26"/>
      <c r="AD165" s="32"/>
      <c r="AE165" s="26"/>
      <c r="AF165" s="24"/>
      <c r="AG165" s="32">
        <f>F165</f>
        <v>0</v>
      </c>
      <c r="AH165" s="32">
        <f>G165</f>
        <v>0</v>
      </c>
      <c r="AI165" s="26"/>
      <c r="AJ165" s="54">
        <f>AH165</f>
        <v>0</v>
      </c>
    </row>
    <row r="166" spans="1:37" s="88" customFormat="1" ht="32.25" customHeight="1">
      <c r="A166" s="149" t="s">
        <v>54</v>
      </c>
      <c r="B166" s="149"/>
      <c r="C166" s="24"/>
      <c r="D166" s="24"/>
      <c r="E166" s="24"/>
      <c r="F166" s="24"/>
      <c r="G166" s="26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6"/>
      <c r="W166" s="26"/>
      <c r="X166" s="26"/>
      <c r="Y166" s="26"/>
      <c r="Z166" s="24"/>
      <c r="AA166" s="45"/>
      <c r="AB166" s="26"/>
      <c r="AC166" s="26"/>
      <c r="AD166" s="26"/>
      <c r="AE166" s="26"/>
      <c r="AF166" s="24"/>
      <c r="AG166" s="24"/>
      <c r="AH166" s="28"/>
      <c r="AI166" s="24"/>
      <c r="AJ166" s="25"/>
    </row>
    <row r="167" spans="1:37" s="88" customFormat="1" ht="64.5" customHeight="1">
      <c r="A167" s="29">
        <v>2</v>
      </c>
      <c r="B167" s="71" t="s">
        <v>157</v>
      </c>
      <c r="C167" s="24"/>
      <c r="D167" s="24"/>
      <c r="E167" s="24"/>
      <c r="F167" s="32">
        <v>73.569999999999993</v>
      </c>
      <c r="G167" s="32">
        <f>V167+AB167</f>
        <v>124562.68874</v>
      </c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4"/>
      <c r="S167" s="24"/>
      <c r="T167" s="24"/>
      <c r="U167" s="24"/>
      <c r="V167" s="32">
        <v>43000</v>
      </c>
      <c r="W167" s="26"/>
      <c r="X167" s="32">
        <f>V167</f>
        <v>43000</v>
      </c>
      <c r="Y167" s="26"/>
      <c r="Z167" s="24"/>
      <c r="AA167" s="32">
        <f>F167</f>
        <v>73.569999999999993</v>
      </c>
      <c r="AB167" s="32">
        <v>81562.688739999998</v>
      </c>
      <c r="AC167" s="26"/>
      <c r="AD167" s="32">
        <f>AB167</f>
        <v>81562.688739999998</v>
      </c>
      <c r="AE167" s="26"/>
      <c r="AF167" s="24"/>
      <c r="AG167" s="24"/>
      <c r="AH167" s="28"/>
      <c r="AI167" s="24"/>
      <c r="AJ167" s="25"/>
    </row>
    <row r="168" spans="1:37" s="88" customFormat="1" ht="75" customHeight="1">
      <c r="A168" s="29">
        <v>3</v>
      </c>
      <c r="B168" s="71" t="s">
        <v>158</v>
      </c>
      <c r="C168" s="24"/>
      <c r="D168" s="24"/>
      <c r="E168" s="24"/>
      <c r="F168" s="32">
        <v>45.4</v>
      </c>
      <c r="G168" s="32">
        <f>19500-2239.9815+0.00764</f>
        <v>17260.026139999998</v>
      </c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6"/>
      <c r="W168" s="26"/>
      <c r="X168" s="26"/>
      <c r="Y168" s="26"/>
      <c r="Z168" s="24"/>
      <c r="AA168" s="32">
        <f>F168</f>
        <v>45.4</v>
      </c>
      <c r="AB168" s="32">
        <f>G168</f>
        <v>17260.026139999998</v>
      </c>
      <c r="AC168" s="26"/>
      <c r="AD168" s="32">
        <f>AB168</f>
        <v>17260.026139999998</v>
      </c>
      <c r="AE168" s="26"/>
      <c r="AF168" s="24"/>
      <c r="AG168" s="24"/>
      <c r="AH168" s="28"/>
      <c r="AI168" s="24"/>
      <c r="AJ168" s="25"/>
    </row>
    <row r="169" spans="1:37" s="88" customFormat="1" ht="32.25" customHeight="1">
      <c r="A169" s="144" t="s">
        <v>58</v>
      </c>
      <c r="B169" s="144"/>
      <c r="C169" s="35"/>
      <c r="D169" s="35"/>
      <c r="E169" s="35"/>
      <c r="F169" s="35"/>
      <c r="G169" s="3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26"/>
      <c r="U169" s="46"/>
      <c r="V169" s="26"/>
      <c r="W169" s="26"/>
      <c r="X169" s="26"/>
      <c r="Y169" s="26"/>
      <c r="Z169" s="45"/>
      <c r="AA169" s="45"/>
      <c r="AB169" s="45"/>
      <c r="AC169" s="45"/>
      <c r="AD169" s="45"/>
      <c r="AE169" s="45"/>
      <c r="AF169" s="45"/>
      <c r="AG169" s="45"/>
      <c r="AH169" s="99"/>
      <c r="AI169" s="45"/>
      <c r="AJ169" s="100"/>
    </row>
    <row r="170" spans="1:37" s="88" customFormat="1" ht="63.75" customHeight="1">
      <c r="A170" s="29">
        <v>4</v>
      </c>
      <c r="B170" s="71" t="s">
        <v>159</v>
      </c>
      <c r="C170" s="30"/>
      <c r="D170" s="35"/>
      <c r="E170" s="35"/>
      <c r="F170" s="32">
        <v>120.68</v>
      </c>
      <c r="G170" s="32">
        <f>41351.1+V170</f>
        <v>146559.9</v>
      </c>
      <c r="H170" s="45">
        <v>146559.9</v>
      </c>
      <c r="I170" s="45"/>
      <c r="J170" s="45"/>
      <c r="K170" s="45"/>
      <c r="L170" s="45"/>
      <c r="M170" s="45"/>
      <c r="N170" s="45"/>
      <c r="O170" s="45"/>
      <c r="P170" s="45"/>
      <c r="Q170" s="45"/>
      <c r="R170" s="45"/>
      <c r="S170" s="45"/>
      <c r="T170" s="26"/>
      <c r="U170" s="32">
        <f>F170</f>
        <v>120.68</v>
      </c>
      <c r="V170" s="32">
        <f>X170+Y170</f>
        <v>105208.8</v>
      </c>
      <c r="W170" s="32"/>
      <c r="X170" s="101">
        <v>98896.3</v>
      </c>
      <c r="Y170" s="101">
        <v>6312.5</v>
      </c>
      <c r="Z170" s="45"/>
      <c r="AA170" s="45"/>
      <c r="AB170" s="45"/>
      <c r="AC170" s="45"/>
      <c r="AD170" s="45"/>
      <c r="AE170" s="45"/>
      <c r="AF170" s="45"/>
      <c r="AG170" s="45"/>
      <c r="AH170" s="99"/>
      <c r="AI170" s="45"/>
      <c r="AJ170" s="100"/>
      <c r="AK170" s="102">
        <v>41351.1</v>
      </c>
    </row>
    <row r="171" spans="1:37" s="88" customFormat="1" ht="71.25" customHeight="1">
      <c r="A171" s="29">
        <v>5</v>
      </c>
      <c r="B171" s="71" t="s">
        <v>160</v>
      </c>
      <c r="C171" s="30"/>
      <c r="D171" s="35"/>
      <c r="E171" s="35"/>
      <c r="F171" s="32">
        <v>69.209999999999994</v>
      </c>
      <c r="G171" s="32">
        <v>63306.050089999997</v>
      </c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26"/>
      <c r="U171" s="32">
        <f>F171</f>
        <v>69.209999999999994</v>
      </c>
      <c r="V171" s="32">
        <f>G171</f>
        <v>63306.050089999997</v>
      </c>
      <c r="W171" s="32"/>
      <c r="X171" s="32">
        <f>V171</f>
        <v>63306.050089999997</v>
      </c>
      <c r="Y171" s="32"/>
      <c r="Z171" s="45"/>
      <c r="AA171" s="45"/>
      <c r="AB171" s="45"/>
      <c r="AC171" s="45"/>
      <c r="AD171" s="45"/>
      <c r="AE171" s="45"/>
      <c r="AF171" s="45"/>
      <c r="AG171" s="45" t="s">
        <v>161</v>
      </c>
      <c r="AH171" s="99"/>
      <c r="AI171" s="45"/>
      <c r="AJ171" s="100"/>
    </row>
    <row r="172" spans="1:37" s="88" customFormat="1" ht="71.25" customHeight="1">
      <c r="A172" s="29">
        <v>6</v>
      </c>
      <c r="B172" s="71" t="s">
        <v>162</v>
      </c>
      <c r="C172" s="30"/>
      <c r="D172" s="35"/>
      <c r="E172" s="35"/>
      <c r="F172" s="32">
        <v>80.3</v>
      </c>
      <c r="G172" s="32">
        <f>33000-3386.74537</f>
        <v>29613.254629999999</v>
      </c>
      <c r="H172" s="45"/>
      <c r="I172" s="45"/>
      <c r="J172" s="45"/>
      <c r="K172" s="45"/>
      <c r="L172" s="45"/>
      <c r="M172" s="45"/>
      <c r="N172" s="45"/>
      <c r="O172" s="45"/>
      <c r="P172" s="45"/>
      <c r="Q172" s="45"/>
      <c r="R172" s="45"/>
      <c r="S172" s="45"/>
      <c r="T172" s="26"/>
      <c r="U172" s="32"/>
      <c r="V172" s="32"/>
      <c r="W172" s="32"/>
      <c r="X172" s="32"/>
      <c r="Y172" s="32"/>
      <c r="Z172" s="45"/>
      <c r="AA172" s="32">
        <f>F172</f>
        <v>80.3</v>
      </c>
      <c r="AB172" s="32">
        <f>G172</f>
        <v>29613.254629999999</v>
      </c>
      <c r="AC172" s="45"/>
      <c r="AD172" s="32">
        <f>AB172</f>
        <v>29613.254629999999</v>
      </c>
      <c r="AE172" s="45"/>
      <c r="AF172" s="45"/>
      <c r="AG172" s="45"/>
      <c r="AH172" s="99"/>
      <c r="AI172" s="45"/>
      <c r="AJ172" s="100"/>
    </row>
    <row r="173" spans="1:37" s="88" customFormat="1" ht="36.75" customHeight="1">
      <c r="A173" s="144" t="s">
        <v>67</v>
      </c>
      <c r="B173" s="144"/>
      <c r="C173" s="30"/>
      <c r="D173" s="35"/>
      <c r="E173" s="35"/>
      <c r="F173" s="32"/>
      <c r="G173" s="32"/>
      <c r="H173" s="45"/>
      <c r="I173" s="45"/>
      <c r="J173" s="45"/>
      <c r="K173" s="45"/>
      <c r="L173" s="45"/>
      <c r="M173" s="45"/>
      <c r="N173" s="45"/>
      <c r="O173" s="45"/>
      <c r="P173" s="45"/>
      <c r="Q173" s="45"/>
      <c r="R173" s="45"/>
      <c r="S173" s="45"/>
      <c r="T173" s="26"/>
      <c r="U173" s="32"/>
      <c r="V173" s="32"/>
      <c r="W173" s="32"/>
      <c r="X173" s="32"/>
      <c r="Y173" s="32"/>
      <c r="Z173" s="45"/>
      <c r="AA173" s="32"/>
      <c r="AB173" s="32"/>
      <c r="AC173" s="45"/>
      <c r="AD173" s="32"/>
      <c r="AE173" s="45"/>
      <c r="AF173" s="45"/>
      <c r="AG173" s="45"/>
      <c r="AH173" s="99"/>
      <c r="AI173" s="45"/>
      <c r="AJ173" s="100"/>
    </row>
    <row r="174" spans="1:37" s="88" customFormat="1" ht="65.25" customHeight="1">
      <c r="A174" s="29">
        <v>7</v>
      </c>
      <c r="B174" s="71" t="s">
        <v>163</v>
      </c>
      <c r="C174" s="30"/>
      <c r="D174" s="35"/>
      <c r="E174" s="35"/>
      <c r="F174" s="32">
        <v>69.2</v>
      </c>
      <c r="G174" s="32">
        <v>28760.336759999998</v>
      </c>
      <c r="H174" s="45"/>
      <c r="I174" s="45"/>
      <c r="J174" s="45"/>
      <c r="K174" s="45"/>
      <c r="L174" s="45"/>
      <c r="M174" s="45"/>
      <c r="N174" s="45"/>
      <c r="O174" s="45"/>
      <c r="P174" s="45"/>
      <c r="Q174" s="45"/>
      <c r="R174" s="45"/>
      <c r="S174" s="45"/>
      <c r="T174" s="26"/>
      <c r="U174" s="32"/>
      <c r="V174" s="32"/>
      <c r="W174" s="32"/>
      <c r="X174" s="32"/>
      <c r="Y174" s="32"/>
      <c r="Z174" s="45"/>
      <c r="AA174" s="32">
        <f>F174</f>
        <v>69.2</v>
      </c>
      <c r="AB174" s="32">
        <f>G174</f>
        <v>28760.336759999998</v>
      </c>
      <c r="AC174" s="45"/>
      <c r="AD174" s="32">
        <f>AB174</f>
        <v>28760.336759999998</v>
      </c>
      <c r="AE174" s="45"/>
      <c r="AF174" s="45"/>
      <c r="AG174" s="45"/>
      <c r="AH174" s="99"/>
      <c r="AI174" s="45"/>
      <c r="AJ174" s="100"/>
    </row>
    <row r="175" spans="1:37" s="88" customFormat="1" ht="36" customHeight="1">
      <c r="A175" s="144" t="s">
        <v>72</v>
      </c>
      <c r="B175" s="144"/>
      <c r="C175" s="35"/>
      <c r="D175" s="35"/>
      <c r="E175" s="35"/>
      <c r="F175" s="35"/>
      <c r="G175" s="26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26"/>
      <c r="U175" s="46"/>
      <c r="V175" s="26"/>
      <c r="W175" s="26"/>
      <c r="X175" s="26"/>
      <c r="Y175" s="26"/>
      <c r="Z175" s="45"/>
      <c r="AA175" s="45"/>
      <c r="AB175" s="45"/>
      <c r="AC175" s="45"/>
      <c r="AD175" s="45"/>
      <c r="AE175" s="45"/>
      <c r="AF175" s="45"/>
      <c r="AG175" s="45"/>
      <c r="AH175" s="99"/>
      <c r="AI175" s="45"/>
      <c r="AJ175" s="100"/>
    </row>
    <row r="176" spans="1:37" s="88" customFormat="1" ht="86.25" customHeight="1">
      <c r="A176" s="29">
        <v>8</v>
      </c>
      <c r="B176" s="71" t="s">
        <v>164</v>
      </c>
      <c r="C176" s="35"/>
      <c r="D176" s="35"/>
      <c r="E176" s="35"/>
      <c r="F176" s="32">
        <v>71.680000000000007</v>
      </c>
      <c r="G176" s="32">
        <f>V176+AB176</f>
        <v>222917.87677999999</v>
      </c>
      <c r="H176" s="45"/>
      <c r="I176" s="45"/>
      <c r="J176" s="45"/>
      <c r="K176" s="45"/>
      <c r="L176" s="45"/>
      <c r="M176" s="45"/>
      <c r="N176" s="45"/>
      <c r="O176" s="45"/>
      <c r="P176" s="45"/>
      <c r="Q176" s="45"/>
      <c r="R176" s="45"/>
      <c r="S176" s="45"/>
      <c r="T176" s="26"/>
      <c r="U176" s="46"/>
      <c r="V176" s="32">
        <v>21999.971890000001</v>
      </c>
      <c r="W176" s="26" t="s">
        <v>62</v>
      </c>
      <c r="X176" s="32">
        <f>V176</f>
        <v>21999.971890000001</v>
      </c>
      <c r="Y176" s="26"/>
      <c r="Z176" s="45"/>
      <c r="AA176" s="32">
        <f>F176</f>
        <v>71.680000000000007</v>
      </c>
      <c r="AB176" s="32">
        <v>200917.90489000001</v>
      </c>
      <c r="AC176" s="45"/>
      <c r="AD176" s="32">
        <f>AB176</f>
        <v>200917.90489000001</v>
      </c>
      <c r="AE176" s="45"/>
      <c r="AF176" s="45"/>
      <c r="AG176" s="45"/>
      <c r="AH176" s="99"/>
      <c r="AI176" s="45"/>
      <c r="AJ176" s="100"/>
    </row>
    <row r="177" spans="1:37" s="88" customFormat="1" ht="63" hidden="1" customHeight="1">
      <c r="A177" s="72">
        <v>8</v>
      </c>
      <c r="B177" s="71" t="s">
        <v>165</v>
      </c>
      <c r="C177" s="35"/>
      <c r="D177" s="35"/>
      <c r="E177" s="35"/>
      <c r="F177" s="32"/>
      <c r="G177" s="32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26"/>
      <c r="U177" s="46"/>
      <c r="V177" s="26"/>
      <c r="W177" s="26"/>
      <c r="X177" s="26"/>
      <c r="Y177" s="26"/>
      <c r="Z177" s="45"/>
      <c r="AA177" s="32"/>
      <c r="AB177" s="32"/>
      <c r="AC177" s="45"/>
      <c r="AD177" s="32"/>
      <c r="AE177" s="45"/>
      <c r="AF177" s="45"/>
      <c r="AG177" s="45"/>
      <c r="AH177" s="99"/>
      <c r="AI177" s="45"/>
      <c r="AJ177" s="100"/>
    </row>
    <row r="178" spans="1:37" s="88" customFormat="1" ht="36" hidden="1" customHeight="1">
      <c r="A178" s="146" t="s">
        <v>82</v>
      </c>
      <c r="B178" s="146"/>
      <c r="C178" s="35"/>
      <c r="D178" s="35"/>
      <c r="E178" s="35"/>
      <c r="F178" s="45"/>
      <c r="G178" s="45"/>
      <c r="H178" s="45"/>
      <c r="I178" s="45"/>
      <c r="J178" s="45"/>
      <c r="K178" s="45"/>
      <c r="L178" s="45"/>
      <c r="M178" s="45"/>
      <c r="N178" s="45"/>
      <c r="O178" s="45"/>
      <c r="P178" s="45"/>
      <c r="Q178" s="45"/>
      <c r="R178" s="45"/>
      <c r="S178" s="45"/>
      <c r="T178" s="26"/>
      <c r="U178" s="46"/>
      <c r="V178" s="26"/>
      <c r="W178" s="26"/>
      <c r="X178" s="26"/>
      <c r="Y178" s="26"/>
      <c r="Z178" s="45"/>
      <c r="AA178" s="45"/>
      <c r="AB178" s="45"/>
      <c r="AC178" s="45"/>
      <c r="AD178" s="45"/>
      <c r="AE178" s="45"/>
      <c r="AF178" s="45"/>
      <c r="AG178" s="45"/>
      <c r="AH178" s="99"/>
      <c r="AI178" s="45"/>
      <c r="AJ178" s="100"/>
    </row>
    <row r="179" spans="1:37" s="88" customFormat="1" ht="54.75" hidden="1" customHeight="1">
      <c r="A179" s="72"/>
      <c r="B179" s="71" t="s">
        <v>166</v>
      </c>
      <c r="C179" s="35"/>
      <c r="D179" s="35"/>
      <c r="E179" s="35"/>
      <c r="F179" s="32"/>
      <c r="G179" s="32"/>
      <c r="H179" s="45"/>
      <c r="I179" s="45"/>
      <c r="J179" s="45"/>
      <c r="K179" s="45"/>
      <c r="L179" s="45"/>
      <c r="M179" s="45"/>
      <c r="N179" s="45"/>
      <c r="O179" s="45"/>
      <c r="P179" s="45"/>
      <c r="Q179" s="45"/>
      <c r="R179" s="45"/>
      <c r="S179" s="45"/>
      <c r="T179" s="26"/>
      <c r="U179" s="46"/>
      <c r="V179" s="26"/>
      <c r="W179" s="26"/>
      <c r="X179" s="26"/>
      <c r="Y179" s="26"/>
      <c r="Z179" s="45"/>
      <c r="AA179" s="32"/>
      <c r="AB179" s="32">
        <f>G179</f>
        <v>0</v>
      </c>
      <c r="AC179" s="45"/>
      <c r="AD179" s="32">
        <f>AB179</f>
        <v>0</v>
      </c>
      <c r="AE179" s="45"/>
      <c r="AF179" s="45"/>
      <c r="AG179" s="45"/>
      <c r="AH179" s="99"/>
      <c r="AI179" s="45"/>
      <c r="AJ179" s="100"/>
    </row>
    <row r="180" spans="1:37" s="88" customFormat="1" ht="30.75" customHeight="1">
      <c r="A180" s="144" t="s">
        <v>85</v>
      </c>
      <c r="B180" s="144"/>
      <c r="C180" s="35"/>
      <c r="D180" s="35"/>
      <c r="E180" s="35"/>
      <c r="F180" s="45"/>
      <c r="G180" s="103"/>
      <c r="H180" s="45"/>
      <c r="I180" s="45"/>
      <c r="J180" s="45"/>
      <c r="K180" s="45"/>
      <c r="L180" s="45"/>
      <c r="M180" s="45"/>
      <c r="N180" s="45"/>
      <c r="O180" s="45"/>
      <c r="P180" s="45"/>
      <c r="Q180" s="45"/>
      <c r="R180" s="45"/>
      <c r="S180" s="45"/>
      <c r="T180" s="26"/>
      <c r="U180" s="46"/>
      <c r="V180" s="32"/>
      <c r="W180" s="26"/>
      <c r="X180" s="26"/>
      <c r="Y180" s="26"/>
      <c r="Z180" s="45"/>
      <c r="AA180" s="45"/>
      <c r="AB180" s="45"/>
      <c r="AC180" s="45"/>
      <c r="AD180" s="32"/>
      <c r="AE180" s="45"/>
      <c r="AF180" s="45"/>
      <c r="AG180" s="45"/>
      <c r="AH180" s="99"/>
      <c r="AI180" s="45"/>
      <c r="AJ180" s="100"/>
    </row>
    <row r="181" spans="1:37" s="88" customFormat="1" ht="54.75" customHeight="1">
      <c r="A181" s="29">
        <v>9</v>
      </c>
      <c r="B181" s="71" t="s">
        <v>167</v>
      </c>
      <c r="C181" s="35"/>
      <c r="D181" s="35"/>
      <c r="E181" s="35"/>
      <c r="F181" s="32">
        <v>51.2</v>
      </c>
      <c r="G181" s="32">
        <f>19500-2110.24684</f>
        <v>17389.75316</v>
      </c>
      <c r="H181" s="45"/>
      <c r="I181" s="45"/>
      <c r="J181" s="45"/>
      <c r="K181" s="45"/>
      <c r="L181" s="45"/>
      <c r="M181" s="45"/>
      <c r="N181" s="45"/>
      <c r="O181" s="45"/>
      <c r="P181" s="45"/>
      <c r="Q181" s="45"/>
      <c r="R181" s="45"/>
      <c r="S181" s="45"/>
      <c r="T181" s="26"/>
      <c r="U181" s="46"/>
      <c r="V181" s="26"/>
      <c r="W181" s="26"/>
      <c r="X181" s="26"/>
      <c r="Y181" s="26"/>
      <c r="Z181" s="45"/>
      <c r="AA181" s="32">
        <v>51.2</v>
      </c>
      <c r="AB181" s="32">
        <f>G181</f>
        <v>17389.75316</v>
      </c>
      <c r="AC181" s="45"/>
      <c r="AD181" s="32">
        <f>AB181</f>
        <v>17389.75316</v>
      </c>
      <c r="AE181" s="45"/>
      <c r="AF181" s="45"/>
      <c r="AG181" s="45"/>
      <c r="AH181" s="99"/>
      <c r="AI181" s="45"/>
      <c r="AJ181" s="100"/>
    </row>
    <row r="182" spans="1:37" s="88" customFormat="1" ht="33.75" customHeight="1">
      <c r="A182" s="144" t="s">
        <v>94</v>
      </c>
      <c r="B182" s="144"/>
      <c r="C182" s="35"/>
      <c r="D182" s="35"/>
      <c r="E182" s="35"/>
      <c r="F182" s="45"/>
      <c r="G182" s="45"/>
      <c r="H182" s="45"/>
      <c r="I182" s="45"/>
      <c r="J182" s="45"/>
      <c r="K182" s="45"/>
      <c r="L182" s="45"/>
      <c r="M182" s="45"/>
      <c r="N182" s="45"/>
      <c r="O182" s="45"/>
      <c r="P182" s="45"/>
      <c r="Q182" s="45"/>
      <c r="R182" s="45"/>
      <c r="S182" s="45"/>
      <c r="T182" s="26"/>
      <c r="U182" s="46"/>
      <c r="V182" s="26"/>
      <c r="W182" s="26"/>
      <c r="X182" s="26"/>
      <c r="Y182" s="26"/>
      <c r="Z182" s="45"/>
      <c r="AA182" s="45"/>
      <c r="AB182" s="45"/>
      <c r="AC182" s="45"/>
      <c r="AD182" s="45"/>
      <c r="AE182" s="45"/>
      <c r="AF182" s="45"/>
      <c r="AG182" s="45"/>
      <c r="AH182" s="99"/>
      <c r="AI182" s="45"/>
      <c r="AJ182" s="100"/>
    </row>
    <row r="183" spans="1:37" s="88" customFormat="1" ht="64.5" customHeight="1">
      <c r="A183" s="29">
        <v>10</v>
      </c>
      <c r="B183" s="71" t="s">
        <v>168</v>
      </c>
      <c r="C183" s="35"/>
      <c r="D183" s="35"/>
      <c r="E183" s="35"/>
      <c r="F183" s="32">
        <v>50.9</v>
      </c>
      <c r="G183" s="32">
        <v>15478.27</v>
      </c>
      <c r="H183" s="45"/>
      <c r="I183" s="45"/>
      <c r="J183" s="45"/>
      <c r="K183" s="45"/>
      <c r="L183" s="45"/>
      <c r="M183" s="45"/>
      <c r="N183" s="45"/>
      <c r="O183" s="45"/>
      <c r="P183" s="45"/>
      <c r="Q183" s="45"/>
      <c r="R183" s="45"/>
      <c r="S183" s="45"/>
      <c r="T183" s="26"/>
      <c r="U183" s="32">
        <f>F183</f>
        <v>50.9</v>
      </c>
      <c r="V183" s="32">
        <f>G183</f>
        <v>15478.27</v>
      </c>
      <c r="W183" s="32"/>
      <c r="X183" s="32">
        <f>V183</f>
        <v>15478.27</v>
      </c>
      <c r="Y183" s="26"/>
      <c r="Z183" s="45"/>
      <c r="AA183" s="45"/>
      <c r="AB183" s="45"/>
      <c r="AC183" s="45"/>
      <c r="AD183" s="45"/>
      <c r="AE183" s="45"/>
      <c r="AF183" s="45"/>
      <c r="AG183" s="45"/>
      <c r="AH183" s="99"/>
      <c r="AI183" s="45"/>
      <c r="AJ183" s="100"/>
    </row>
    <row r="184" spans="1:37" s="88" customFormat="1" ht="52.5" customHeight="1">
      <c r="A184" s="29">
        <v>11</v>
      </c>
      <c r="B184" s="104" t="s">
        <v>169</v>
      </c>
      <c r="C184" s="35"/>
      <c r="D184" s="35"/>
      <c r="E184" s="35"/>
      <c r="F184" s="32">
        <v>67.7</v>
      </c>
      <c r="G184" s="32">
        <f>28000-1534.64814</f>
        <v>26465.351859999999</v>
      </c>
      <c r="H184" s="45"/>
      <c r="I184" s="45"/>
      <c r="J184" s="45"/>
      <c r="K184" s="45"/>
      <c r="L184" s="45"/>
      <c r="M184" s="45"/>
      <c r="N184" s="45"/>
      <c r="O184" s="45"/>
      <c r="P184" s="45"/>
      <c r="Q184" s="45"/>
      <c r="R184" s="45"/>
      <c r="S184" s="45"/>
      <c r="T184" s="26"/>
      <c r="U184" s="32"/>
      <c r="V184" s="32"/>
      <c r="W184" s="32"/>
      <c r="X184" s="32"/>
      <c r="Y184" s="26"/>
      <c r="Z184" s="45"/>
      <c r="AA184" s="32">
        <v>67.7</v>
      </c>
      <c r="AB184" s="32">
        <f>G184</f>
        <v>26465.351859999999</v>
      </c>
      <c r="AC184" s="45"/>
      <c r="AD184" s="32">
        <f>AB184</f>
        <v>26465.351859999999</v>
      </c>
      <c r="AE184" s="45"/>
      <c r="AF184" s="45"/>
      <c r="AG184" s="45"/>
      <c r="AH184" s="99"/>
      <c r="AI184" s="45"/>
      <c r="AJ184" s="100"/>
    </row>
    <row r="185" spans="1:37" s="88" customFormat="1" ht="36" customHeight="1">
      <c r="A185" s="144" t="s">
        <v>110</v>
      </c>
      <c r="B185" s="144"/>
      <c r="C185" s="35"/>
      <c r="D185" s="105"/>
      <c r="E185" s="105"/>
      <c r="F185" s="32"/>
      <c r="G185" s="32"/>
      <c r="H185" s="45"/>
      <c r="I185" s="45"/>
      <c r="J185" s="45"/>
      <c r="K185" s="45"/>
      <c r="L185" s="45"/>
      <c r="M185" s="45"/>
      <c r="N185" s="45"/>
      <c r="O185" s="45"/>
      <c r="P185" s="45"/>
      <c r="Q185" s="45"/>
      <c r="R185" s="45"/>
      <c r="S185" s="45"/>
      <c r="T185" s="26"/>
      <c r="U185" s="46"/>
      <c r="V185" s="26"/>
      <c r="W185" s="26"/>
      <c r="X185" s="26"/>
      <c r="Y185" s="26"/>
      <c r="Z185" s="45"/>
      <c r="AA185" s="59"/>
      <c r="AB185" s="32"/>
      <c r="AC185" s="32"/>
      <c r="AD185" s="32"/>
      <c r="AE185" s="32"/>
      <c r="AF185" s="45"/>
      <c r="AG185" s="45"/>
      <c r="AH185" s="99"/>
      <c r="AI185" s="45"/>
      <c r="AJ185" s="100"/>
    </row>
    <row r="186" spans="1:37" s="88" customFormat="1" ht="63" customHeight="1">
      <c r="A186" s="29">
        <v>12</v>
      </c>
      <c r="B186" s="104" t="s">
        <v>170</v>
      </c>
      <c r="C186" s="35"/>
      <c r="D186" s="105"/>
      <c r="E186" s="105"/>
      <c r="F186" s="32">
        <v>216.28</v>
      </c>
      <c r="G186" s="32">
        <v>375000</v>
      </c>
      <c r="H186" s="45"/>
      <c r="I186" s="45"/>
      <c r="J186" s="45"/>
      <c r="K186" s="45"/>
      <c r="L186" s="45"/>
      <c r="M186" s="45"/>
      <c r="N186" s="45"/>
      <c r="O186" s="45"/>
      <c r="P186" s="45"/>
      <c r="Q186" s="45"/>
      <c r="R186" s="45"/>
      <c r="S186" s="45"/>
      <c r="T186" s="26"/>
      <c r="U186" s="46"/>
      <c r="V186" s="26"/>
      <c r="W186" s="26"/>
      <c r="X186" s="26"/>
      <c r="Y186" s="26"/>
      <c r="Z186" s="45"/>
      <c r="AA186" s="32">
        <v>216.28</v>
      </c>
      <c r="AB186" s="32">
        <v>375000</v>
      </c>
      <c r="AC186" s="32"/>
      <c r="AD186" s="32">
        <f>352500-249500+249500</f>
        <v>352500</v>
      </c>
      <c r="AE186" s="32">
        <f>AB186-AD186</f>
        <v>22500</v>
      </c>
      <c r="AF186" s="45"/>
      <c r="AG186" s="45"/>
      <c r="AH186" s="99"/>
      <c r="AI186" s="45"/>
      <c r="AJ186" s="100"/>
    </row>
    <row r="187" spans="1:37" s="88" customFormat="1" ht="30.75" customHeight="1">
      <c r="A187" s="144" t="s">
        <v>171</v>
      </c>
      <c r="B187" s="144"/>
      <c r="C187" s="35"/>
      <c r="D187" s="105"/>
      <c r="E187" s="105"/>
      <c r="F187" s="59"/>
      <c r="G187" s="32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26"/>
      <c r="U187" s="46"/>
      <c r="V187" s="26"/>
      <c r="W187" s="26"/>
      <c r="X187" s="26"/>
      <c r="Y187" s="26"/>
      <c r="Z187" s="45"/>
      <c r="AA187" s="59"/>
      <c r="AB187" s="32"/>
      <c r="AC187" s="32"/>
      <c r="AD187" s="32"/>
      <c r="AE187" s="32"/>
      <c r="AF187" s="45"/>
      <c r="AG187" s="45"/>
      <c r="AH187" s="99"/>
      <c r="AI187" s="45"/>
      <c r="AJ187" s="100"/>
    </row>
    <row r="188" spans="1:37" s="88" customFormat="1" ht="63" customHeight="1">
      <c r="A188" s="29">
        <v>13</v>
      </c>
      <c r="B188" s="104" t="s">
        <v>172</v>
      </c>
      <c r="C188" s="35"/>
      <c r="D188" s="105"/>
      <c r="E188" s="105"/>
      <c r="F188" s="32">
        <v>39.700000000000003</v>
      </c>
      <c r="G188" s="32">
        <v>10933.883819999999</v>
      </c>
      <c r="H188" s="45"/>
      <c r="I188" s="45"/>
      <c r="J188" s="45"/>
      <c r="K188" s="45"/>
      <c r="L188" s="45"/>
      <c r="M188" s="45"/>
      <c r="N188" s="45"/>
      <c r="O188" s="45"/>
      <c r="P188" s="45"/>
      <c r="Q188" s="45"/>
      <c r="R188" s="45"/>
      <c r="S188" s="45"/>
      <c r="T188" s="26"/>
      <c r="U188" s="46"/>
      <c r="V188" s="26"/>
      <c r="W188" s="26"/>
      <c r="X188" s="26"/>
      <c r="Y188" s="26"/>
      <c r="Z188" s="45"/>
      <c r="AA188" s="32">
        <v>39.700000000000003</v>
      </c>
      <c r="AB188" s="32">
        <f>G188</f>
        <v>10933.883819999999</v>
      </c>
      <c r="AC188" s="32"/>
      <c r="AD188" s="32">
        <f>AB188</f>
        <v>10933.883819999999</v>
      </c>
      <c r="AE188" s="32"/>
      <c r="AF188" s="45"/>
      <c r="AG188" s="45"/>
      <c r="AH188" s="99"/>
      <c r="AI188" s="45"/>
      <c r="AJ188" s="100"/>
    </row>
    <row r="189" spans="1:37" s="88" customFormat="1" ht="32.25" customHeight="1">
      <c r="A189" s="144" t="s">
        <v>127</v>
      </c>
      <c r="B189" s="144"/>
      <c r="C189" s="35"/>
      <c r="D189" s="105"/>
      <c r="E189" s="105"/>
      <c r="F189" s="32"/>
      <c r="G189" s="32"/>
      <c r="H189" s="45"/>
      <c r="I189" s="45"/>
      <c r="J189" s="45"/>
      <c r="K189" s="45"/>
      <c r="L189" s="45"/>
      <c r="M189" s="45"/>
      <c r="N189" s="45"/>
      <c r="O189" s="45"/>
      <c r="P189" s="45"/>
      <c r="Q189" s="45"/>
      <c r="R189" s="45"/>
      <c r="S189" s="45"/>
      <c r="T189" s="26"/>
      <c r="U189" s="46"/>
      <c r="V189" s="26"/>
      <c r="W189" s="26"/>
      <c r="X189" s="26"/>
      <c r="Y189" s="26"/>
      <c r="Z189" s="45"/>
      <c r="AA189" s="59"/>
      <c r="AB189" s="32"/>
      <c r="AC189" s="32"/>
      <c r="AD189" s="32"/>
      <c r="AE189" s="32"/>
      <c r="AF189" s="45"/>
      <c r="AG189" s="45"/>
      <c r="AH189" s="99"/>
      <c r="AI189" s="45"/>
      <c r="AJ189" s="100"/>
    </row>
    <row r="190" spans="1:37" s="88" customFormat="1" ht="63" customHeight="1">
      <c r="A190" s="29">
        <v>14</v>
      </c>
      <c r="B190" s="106" t="s">
        <v>173</v>
      </c>
      <c r="C190" s="71"/>
      <c r="D190" s="105"/>
      <c r="E190" s="105"/>
      <c r="F190" s="32">
        <v>60.15</v>
      </c>
      <c r="G190" s="32">
        <f>30538.1+V190</f>
        <v>181508.02274000001</v>
      </c>
      <c r="H190" s="45"/>
      <c r="I190" s="45"/>
      <c r="J190" s="45"/>
      <c r="K190" s="45"/>
      <c r="L190" s="45"/>
      <c r="M190" s="45"/>
      <c r="N190" s="45"/>
      <c r="O190" s="45"/>
      <c r="P190" s="45"/>
      <c r="Q190" s="45"/>
      <c r="R190" s="45"/>
      <c r="S190" s="45"/>
      <c r="T190" s="26"/>
      <c r="U190" s="32">
        <v>60.15</v>
      </c>
      <c r="V190" s="32">
        <v>150969.92274000001</v>
      </c>
      <c r="W190" s="32"/>
      <c r="X190" s="101">
        <v>140402.02815</v>
      </c>
      <c r="Y190" s="101">
        <f>V190-X190</f>
        <v>10567.894590000011</v>
      </c>
      <c r="Z190" s="45"/>
      <c r="AA190" s="45"/>
      <c r="AB190" s="26"/>
      <c r="AC190" s="26"/>
      <c r="AD190" s="26"/>
      <c r="AE190" s="26"/>
      <c r="AF190" s="45"/>
      <c r="AG190" s="45"/>
      <c r="AH190" s="99"/>
      <c r="AI190" s="45"/>
      <c r="AJ190" s="100"/>
      <c r="AK190" s="102">
        <v>30538.12988</v>
      </c>
    </row>
    <row r="191" spans="1:37" s="88" customFormat="1" ht="65.25" customHeight="1">
      <c r="A191" s="29">
        <v>15</v>
      </c>
      <c r="B191" s="106" t="s">
        <v>174</v>
      </c>
      <c r="C191" s="30"/>
      <c r="D191" s="35"/>
      <c r="E191" s="35"/>
      <c r="F191" s="32">
        <v>69.900000000000006</v>
      </c>
      <c r="G191" s="101">
        <f>28530+V191</f>
        <v>65674.763399999996</v>
      </c>
      <c r="H191" s="45"/>
      <c r="I191" s="45"/>
      <c r="J191" s="45"/>
      <c r="K191" s="45"/>
      <c r="L191" s="45"/>
      <c r="M191" s="45"/>
      <c r="N191" s="45"/>
      <c r="O191" s="45"/>
      <c r="P191" s="45"/>
      <c r="Q191" s="45"/>
      <c r="R191" s="45"/>
      <c r="S191" s="45"/>
      <c r="T191" s="26"/>
      <c r="U191" s="32">
        <v>69.900000000000006</v>
      </c>
      <c r="V191" s="32">
        <v>37144.763400000003</v>
      </c>
      <c r="W191" s="32"/>
      <c r="X191" s="101">
        <f>V191</f>
        <v>37144.763400000003</v>
      </c>
      <c r="Y191" s="32"/>
      <c r="Z191" s="45"/>
      <c r="AA191" s="45"/>
      <c r="AB191" s="45"/>
      <c r="AC191" s="45"/>
      <c r="AD191" s="45"/>
      <c r="AE191" s="45"/>
      <c r="AF191" s="45"/>
      <c r="AG191" s="45"/>
      <c r="AH191" s="99"/>
      <c r="AI191" s="45"/>
      <c r="AJ191" s="100"/>
      <c r="AK191" s="107">
        <v>28530</v>
      </c>
    </row>
    <row r="192" spans="1:37" s="88" customFormat="1" ht="73.5" customHeight="1">
      <c r="A192" s="29">
        <v>169</v>
      </c>
      <c r="B192" s="106" t="s">
        <v>175</v>
      </c>
      <c r="C192" s="30"/>
      <c r="D192" s="35"/>
      <c r="E192" s="35"/>
      <c r="F192" s="32">
        <v>69.900000000000006</v>
      </c>
      <c r="G192" s="101">
        <f>18520+V192</f>
        <v>65644.468389999995</v>
      </c>
      <c r="H192" s="45"/>
      <c r="I192" s="45"/>
      <c r="J192" s="45"/>
      <c r="K192" s="45"/>
      <c r="L192" s="45"/>
      <c r="M192" s="45"/>
      <c r="N192" s="45"/>
      <c r="O192" s="45"/>
      <c r="P192" s="45"/>
      <c r="Q192" s="45"/>
      <c r="R192" s="45"/>
      <c r="S192" s="45"/>
      <c r="T192" s="26"/>
      <c r="U192" s="32">
        <v>69.900000000000006</v>
      </c>
      <c r="V192" s="32">
        <v>47124.468390000002</v>
      </c>
      <c r="W192" s="32"/>
      <c r="X192" s="101">
        <f>V192</f>
        <v>47124.468390000002</v>
      </c>
      <c r="Y192" s="26"/>
      <c r="Z192" s="45"/>
      <c r="AA192" s="26"/>
      <c r="AB192" s="32"/>
      <c r="AC192" s="32"/>
      <c r="AD192" s="32"/>
      <c r="AE192" s="32"/>
      <c r="AF192" s="45" t="s">
        <v>120</v>
      </c>
      <c r="AG192" s="45" t="s">
        <v>48</v>
      </c>
      <c r="AH192" s="99"/>
      <c r="AI192" s="45"/>
      <c r="AJ192" s="100"/>
      <c r="AK192" s="107">
        <v>18520</v>
      </c>
    </row>
    <row r="193" spans="1:37" s="88" customFormat="1" ht="65.25" customHeight="1">
      <c r="A193" s="29">
        <v>17</v>
      </c>
      <c r="B193" s="106" t="s">
        <v>176</v>
      </c>
      <c r="C193" s="41"/>
      <c r="D193" s="35"/>
      <c r="E193" s="35"/>
      <c r="F193" s="32">
        <v>66.2</v>
      </c>
      <c r="G193" s="101">
        <f>13396.62055+V193</f>
        <v>63566.332900000001</v>
      </c>
      <c r="H193" s="45"/>
      <c r="I193" s="45"/>
      <c r="J193" s="45"/>
      <c r="K193" s="45"/>
      <c r="L193" s="45"/>
      <c r="M193" s="45"/>
      <c r="N193" s="45"/>
      <c r="O193" s="45"/>
      <c r="P193" s="45"/>
      <c r="Q193" s="45"/>
      <c r="R193" s="45"/>
      <c r="S193" s="45"/>
      <c r="T193" s="26"/>
      <c r="U193" s="32">
        <v>66.2</v>
      </c>
      <c r="V193" s="32">
        <f>45631.3329+5000-461.62055</f>
        <v>50169.712350000002</v>
      </c>
      <c r="W193" s="32"/>
      <c r="X193" s="101">
        <f>V193</f>
        <v>50169.712350000002</v>
      </c>
      <c r="Y193" s="26"/>
      <c r="Z193" s="45"/>
      <c r="AA193" s="45"/>
      <c r="AB193" s="26"/>
      <c r="AC193" s="26"/>
      <c r="AD193" s="26"/>
      <c r="AE193" s="26"/>
      <c r="AF193" s="45"/>
      <c r="AG193" s="45" t="s">
        <v>62</v>
      </c>
      <c r="AH193" s="99"/>
      <c r="AI193" s="45"/>
      <c r="AJ193" s="100"/>
      <c r="AK193" s="107">
        <v>13396.62055</v>
      </c>
    </row>
    <row r="194" spans="1:37" s="88" customFormat="1" ht="64.5" customHeight="1">
      <c r="A194" s="29">
        <v>18</v>
      </c>
      <c r="B194" s="106" t="s">
        <v>177</v>
      </c>
      <c r="C194" s="41"/>
      <c r="D194" s="35"/>
      <c r="E194" s="35"/>
      <c r="F194" s="32">
        <v>78.2</v>
      </c>
      <c r="G194" s="101">
        <f>28620+V194</f>
        <v>100410.93807</v>
      </c>
      <c r="H194" s="45"/>
      <c r="I194" s="45"/>
      <c r="J194" s="45"/>
      <c r="K194" s="45"/>
      <c r="L194" s="45"/>
      <c r="M194" s="45"/>
      <c r="N194" s="45"/>
      <c r="O194" s="45"/>
      <c r="P194" s="45"/>
      <c r="Q194" s="45"/>
      <c r="R194" s="45"/>
      <c r="S194" s="45"/>
      <c r="T194" s="26"/>
      <c r="U194" s="32">
        <v>78.2</v>
      </c>
      <c r="V194" s="101">
        <v>71790.938070000004</v>
      </c>
      <c r="W194" s="32"/>
      <c r="X194" s="101">
        <f>V194</f>
        <v>71790.938070000004</v>
      </c>
      <c r="Y194" s="45"/>
      <c r="Z194" s="45"/>
      <c r="AA194" s="45"/>
      <c r="AB194" s="45"/>
      <c r="AC194" s="45"/>
      <c r="AD194" s="45"/>
      <c r="AE194" s="45"/>
      <c r="AF194" s="45"/>
      <c r="AG194" s="45"/>
      <c r="AH194" s="99"/>
      <c r="AI194" s="45"/>
      <c r="AJ194" s="100"/>
      <c r="AK194" s="107">
        <v>28620</v>
      </c>
    </row>
    <row r="195" spans="1:37" s="88" customFormat="1" ht="69.75" hidden="1" customHeight="1">
      <c r="A195" s="72">
        <v>21</v>
      </c>
      <c r="B195" s="106" t="s">
        <v>178</v>
      </c>
      <c r="C195" s="41"/>
      <c r="D195" s="35"/>
      <c r="E195" s="35"/>
      <c r="F195" s="32"/>
      <c r="G195" s="101"/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5"/>
      <c r="T195" s="26"/>
      <c r="U195" s="32"/>
      <c r="V195" s="32" t="s">
        <v>120</v>
      </c>
      <c r="W195" s="32"/>
      <c r="X195" s="101"/>
      <c r="Y195" s="45"/>
      <c r="Z195" s="45"/>
      <c r="AA195" s="32"/>
      <c r="AB195" s="32"/>
      <c r="AC195" s="45"/>
      <c r="AD195" s="32"/>
      <c r="AE195" s="45"/>
      <c r="AF195" s="45"/>
      <c r="AG195" s="32">
        <f>F195</f>
        <v>0</v>
      </c>
      <c r="AH195" s="32">
        <f>G195</f>
        <v>0</v>
      </c>
      <c r="AI195" s="26"/>
      <c r="AJ195" s="54">
        <f>AH195</f>
        <v>0</v>
      </c>
    </row>
    <row r="196" spans="1:37" s="88" customFormat="1" ht="51" hidden="1" customHeight="1">
      <c r="A196" s="108">
        <v>22</v>
      </c>
      <c r="B196" s="106" t="s">
        <v>179</v>
      </c>
      <c r="C196" s="41"/>
      <c r="D196" s="35"/>
      <c r="E196" s="35"/>
      <c r="F196" s="32"/>
      <c r="G196" s="101"/>
      <c r="H196" s="45"/>
      <c r="I196" s="45"/>
      <c r="J196" s="45"/>
      <c r="K196" s="45"/>
      <c r="L196" s="45"/>
      <c r="M196" s="45"/>
      <c r="N196" s="45"/>
      <c r="O196" s="45"/>
      <c r="P196" s="45"/>
      <c r="Q196" s="45"/>
      <c r="R196" s="45"/>
      <c r="S196" s="45"/>
      <c r="T196" s="26"/>
      <c r="U196" s="32"/>
      <c r="V196" s="32"/>
      <c r="W196" s="32"/>
      <c r="X196" s="101"/>
      <c r="Y196" s="45"/>
      <c r="Z196" s="45"/>
      <c r="AA196" s="32"/>
      <c r="AB196" s="32"/>
      <c r="AC196" s="45" t="s">
        <v>62</v>
      </c>
      <c r="AD196" s="32"/>
      <c r="AE196" s="45"/>
      <c r="AF196" s="45"/>
      <c r="AG196" s="32">
        <f>F196</f>
        <v>0</v>
      </c>
      <c r="AH196" s="32">
        <f>G196</f>
        <v>0</v>
      </c>
      <c r="AI196" s="26"/>
      <c r="AJ196" s="54">
        <f>AH196</f>
        <v>0</v>
      </c>
    </row>
    <row r="197" spans="1:37" s="110" customFormat="1" ht="31.5" customHeight="1">
      <c r="A197" s="144" t="s">
        <v>180</v>
      </c>
      <c r="B197" s="144"/>
      <c r="C197" s="41"/>
      <c r="D197" s="35"/>
      <c r="E197" s="35"/>
      <c r="F197" s="32"/>
      <c r="G197" s="109"/>
      <c r="H197" s="45"/>
      <c r="I197" s="45"/>
      <c r="J197" s="45"/>
      <c r="K197" s="45"/>
      <c r="L197" s="45"/>
      <c r="M197" s="45"/>
      <c r="N197" s="45"/>
      <c r="O197" s="45"/>
      <c r="P197" s="45"/>
      <c r="Q197" s="45"/>
      <c r="R197" s="45"/>
      <c r="S197" s="45"/>
      <c r="T197" s="26"/>
      <c r="U197" s="32"/>
      <c r="V197" s="32"/>
      <c r="W197" s="32"/>
      <c r="X197" s="101"/>
      <c r="Y197" s="45"/>
      <c r="Z197" s="45"/>
      <c r="AA197" s="45"/>
      <c r="AB197" s="45"/>
      <c r="AC197" s="45"/>
      <c r="AD197" s="45"/>
      <c r="AE197" s="45"/>
      <c r="AF197" s="45"/>
      <c r="AG197" s="45"/>
      <c r="AH197" s="99"/>
      <c r="AI197" s="45"/>
      <c r="AJ197" s="100"/>
    </row>
    <row r="198" spans="1:37" s="110" customFormat="1" ht="65.25" customHeight="1">
      <c r="A198" s="29">
        <v>19</v>
      </c>
      <c r="B198" s="106" t="s">
        <v>181</v>
      </c>
      <c r="C198" s="24"/>
      <c r="D198" s="24"/>
      <c r="E198" s="111"/>
      <c r="F198" s="32">
        <v>160.69999999999999</v>
      </c>
      <c r="G198" s="101">
        <f>27845.37945+V198</f>
        <v>46367.12242</v>
      </c>
      <c r="H198" s="45"/>
      <c r="I198" s="45"/>
      <c r="J198" s="45"/>
      <c r="K198" s="45"/>
      <c r="L198" s="45"/>
      <c r="M198" s="45"/>
      <c r="N198" s="45"/>
      <c r="O198" s="45"/>
      <c r="P198" s="45"/>
      <c r="Q198" s="45"/>
      <c r="R198" s="45"/>
      <c r="S198" s="45"/>
      <c r="T198" s="26"/>
      <c r="U198" s="32">
        <v>160.69999999999999</v>
      </c>
      <c r="V198" s="101">
        <v>18521.742969999999</v>
      </c>
      <c r="W198" s="32"/>
      <c r="X198" s="101">
        <f>V198</f>
        <v>18521.742969999999</v>
      </c>
      <c r="Y198" s="112"/>
      <c r="Z198" s="24"/>
      <c r="AA198" s="24"/>
      <c r="AB198" s="24"/>
      <c r="AC198" s="24"/>
      <c r="AD198" s="24"/>
      <c r="AE198" s="24"/>
      <c r="AF198" s="24"/>
      <c r="AG198" s="24"/>
      <c r="AH198" s="28"/>
      <c r="AI198" s="24"/>
      <c r="AJ198" s="25"/>
      <c r="AK198" s="107">
        <v>27845.37945</v>
      </c>
    </row>
    <row r="199" spans="1:37" s="110" customFormat="1" ht="33.75" customHeight="1">
      <c r="A199" s="144" t="s">
        <v>135</v>
      </c>
      <c r="B199" s="144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8"/>
      <c r="AI199" s="24"/>
      <c r="AJ199" s="25"/>
    </row>
    <row r="200" spans="1:37" s="110" customFormat="1" ht="48.75" customHeight="1" thickBot="1">
      <c r="A200" s="113">
        <v>20</v>
      </c>
      <c r="B200" s="114" t="s">
        <v>182</v>
      </c>
      <c r="C200" s="115"/>
      <c r="D200" s="116"/>
      <c r="E200" s="117"/>
      <c r="F200" s="118">
        <v>88</v>
      </c>
      <c r="G200" s="118">
        <f>21923.4+V200</f>
        <v>50519.12285</v>
      </c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7"/>
      <c r="U200" s="118">
        <f>F200</f>
        <v>88</v>
      </c>
      <c r="V200" s="118">
        <f>X200+Y200</f>
        <v>28595.722850000002</v>
      </c>
      <c r="W200" s="118"/>
      <c r="X200" s="119">
        <v>26879.979480000002</v>
      </c>
      <c r="Y200" s="119">
        <v>1715.7433699999999</v>
      </c>
      <c r="Z200" s="116" t="s">
        <v>120</v>
      </c>
      <c r="AA200" s="116"/>
      <c r="AB200" s="116"/>
      <c r="AC200" s="116" t="s">
        <v>48</v>
      </c>
      <c r="AD200" s="116"/>
      <c r="AE200" s="116"/>
      <c r="AF200" s="116"/>
      <c r="AG200" s="116"/>
      <c r="AH200" s="120"/>
      <c r="AI200" s="116"/>
      <c r="AJ200" s="121"/>
      <c r="AK200" s="102">
        <v>21923.4</v>
      </c>
    </row>
    <row r="201" spans="1:37" s="110" customFormat="1" ht="29.25" hidden="1" customHeight="1">
      <c r="A201" s="145"/>
      <c r="B201" s="145"/>
      <c r="C201" s="145"/>
      <c r="D201" s="122"/>
      <c r="E201" s="123"/>
      <c r="F201" s="124"/>
      <c r="G201" s="125"/>
      <c r="H201" s="126"/>
      <c r="I201" s="122"/>
      <c r="J201" s="122"/>
      <c r="K201" s="122"/>
      <c r="L201" s="122"/>
      <c r="M201" s="122"/>
      <c r="N201" s="122"/>
      <c r="O201" s="122"/>
      <c r="P201" s="122"/>
      <c r="Q201" s="122"/>
      <c r="R201" s="122"/>
      <c r="S201" s="122"/>
      <c r="T201" s="123"/>
      <c r="U201" s="124"/>
      <c r="V201" s="125"/>
      <c r="W201" s="125"/>
      <c r="X201" s="125"/>
      <c r="Y201" s="125"/>
      <c r="Z201" s="122"/>
      <c r="AA201" s="122"/>
      <c r="AB201" s="122"/>
      <c r="AC201" s="122"/>
      <c r="AD201" s="122"/>
      <c r="AE201" s="122"/>
      <c r="AF201" s="122"/>
      <c r="AG201" s="122"/>
      <c r="AH201" s="127"/>
      <c r="AI201" s="128"/>
      <c r="AJ201" s="128"/>
    </row>
    <row r="202" spans="1:37" s="110" customFormat="1">
      <c r="A202" s="129"/>
      <c r="H202" s="12"/>
    </row>
    <row r="203" spans="1:37" s="110" customFormat="1">
      <c r="A203" s="129"/>
      <c r="H203" s="12"/>
    </row>
    <row r="204" spans="1:37" s="110" customFormat="1">
      <c r="A204" s="129"/>
      <c r="H204" s="12"/>
    </row>
    <row r="205" spans="1:37" s="110" customFormat="1">
      <c r="A205" s="129"/>
      <c r="H205" s="12"/>
    </row>
    <row r="206" spans="1:37" s="110" customFormat="1">
      <c r="A206" s="129"/>
      <c r="H206" s="12"/>
    </row>
    <row r="207" spans="1:37" s="110" customFormat="1">
      <c r="A207" s="129"/>
      <c r="H207" s="12"/>
    </row>
    <row r="208" spans="1:37" s="110" customFormat="1">
      <c r="A208" s="129"/>
    </row>
    <row r="209" spans="1:1" s="110" customFormat="1">
      <c r="A209" s="129"/>
    </row>
    <row r="210" spans="1:1" s="110" customFormat="1">
      <c r="A210" s="129"/>
    </row>
    <row r="211" spans="1:1" s="110" customFormat="1">
      <c r="A211" s="129"/>
    </row>
    <row r="212" spans="1:1" s="110" customFormat="1">
      <c r="A212" s="129"/>
    </row>
    <row r="213" spans="1:1" s="110" customFormat="1">
      <c r="A213" s="129"/>
    </row>
    <row r="214" spans="1:1" s="110" customFormat="1">
      <c r="A214" s="129"/>
    </row>
    <row r="215" spans="1:1" s="110" customFormat="1">
      <c r="A215" s="129"/>
    </row>
    <row r="216" spans="1:1" s="110" customFormat="1">
      <c r="A216" s="129"/>
    </row>
    <row r="217" spans="1:1" s="110" customFormat="1">
      <c r="A217" s="129"/>
    </row>
    <row r="218" spans="1:1" s="110" customFormat="1">
      <c r="A218" s="129"/>
    </row>
    <row r="219" spans="1:1" s="110" customFormat="1">
      <c r="A219" s="129"/>
    </row>
    <row r="220" spans="1:1" s="110" customFormat="1">
      <c r="A220" s="129"/>
    </row>
    <row r="221" spans="1:1" s="110" customFormat="1">
      <c r="A221" s="129"/>
    </row>
    <row r="222" spans="1:1" s="110" customFormat="1">
      <c r="A222" s="129"/>
    </row>
    <row r="223" spans="1:1" s="110" customFormat="1">
      <c r="A223" s="129"/>
    </row>
    <row r="224" spans="1:1" s="110" customFormat="1">
      <c r="A224" s="129"/>
    </row>
    <row r="225" spans="1:1" s="110" customFormat="1">
      <c r="A225" s="129"/>
    </row>
    <row r="226" spans="1:1" s="110" customFormat="1">
      <c r="A226" s="129"/>
    </row>
    <row r="227" spans="1:1" s="110" customFormat="1">
      <c r="A227" s="129"/>
    </row>
    <row r="228" spans="1:1" s="110" customFormat="1">
      <c r="A228" s="129"/>
    </row>
    <row r="229" spans="1:1" s="110" customFormat="1">
      <c r="A229" s="129"/>
    </row>
    <row r="230" spans="1:1" s="110" customFormat="1">
      <c r="A230" s="129"/>
    </row>
    <row r="231" spans="1:1" s="110" customFormat="1">
      <c r="A231" s="129"/>
    </row>
    <row r="232" spans="1:1" s="110" customFormat="1">
      <c r="A232" s="129"/>
    </row>
    <row r="233" spans="1:1" s="110" customFormat="1">
      <c r="A233" s="129"/>
    </row>
    <row r="234" spans="1:1" s="110" customFormat="1">
      <c r="A234" s="129"/>
    </row>
    <row r="235" spans="1:1" s="110" customFormat="1">
      <c r="A235" s="129"/>
    </row>
    <row r="236" spans="1:1" s="110" customFormat="1">
      <c r="A236" s="129"/>
    </row>
    <row r="237" spans="1:1" s="110" customFormat="1">
      <c r="A237" s="129"/>
    </row>
    <row r="238" spans="1:1" s="110" customFormat="1">
      <c r="A238" s="129"/>
    </row>
    <row r="239" spans="1:1" s="110" customFormat="1">
      <c r="A239" s="129"/>
    </row>
    <row r="240" spans="1:1" s="110" customFormat="1">
      <c r="A240" s="129"/>
    </row>
    <row r="241" spans="1:1" s="110" customFormat="1">
      <c r="A241" s="129"/>
    </row>
    <row r="242" spans="1:1" s="110" customFormat="1">
      <c r="A242" s="129"/>
    </row>
    <row r="243" spans="1:1" s="110" customFormat="1">
      <c r="A243" s="129"/>
    </row>
    <row r="244" spans="1:1" s="110" customFormat="1">
      <c r="A244" s="129"/>
    </row>
    <row r="245" spans="1:1" s="110" customFormat="1">
      <c r="A245" s="129"/>
    </row>
    <row r="246" spans="1:1" s="110" customFormat="1">
      <c r="A246" s="129"/>
    </row>
    <row r="247" spans="1:1" s="110" customFormat="1">
      <c r="A247" s="129"/>
    </row>
    <row r="248" spans="1:1" s="110" customFormat="1">
      <c r="A248" s="129"/>
    </row>
    <row r="249" spans="1:1" s="110" customFormat="1">
      <c r="A249" s="129"/>
    </row>
    <row r="250" spans="1:1" s="110" customFormat="1">
      <c r="A250" s="129"/>
    </row>
    <row r="251" spans="1:1" s="110" customFormat="1">
      <c r="A251" s="129"/>
    </row>
    <row r="252" spans="1:1" s="110" customFormat="1">
      <c r="A252" s="129"/>
    </row>
    <row r="253" spans="1:1" s="110" customFormat="1">
      <c r="A253" s="129"/>
    </row>
    <row r="254" spans="1:1" s="110" customFormat="1">
      <c r="A254" s="129"/>
    </row>
    <row r="255" spans="1:1" s="110" customFormat="1">
      <c r="A255" s="129"/>
    </row>
    <row r="256" spans="1:1" s="110" customFormat="1">
      <c r="A256" s="129"/>
    </row>
    <row r="257" spans="1:1" s="110" customFormat="1">
      <c r="A257" s="129"/>
    </row>
    <row r="258" spans="1:1" s="110" customFormat="1">
      <c r="A258" s="129"/>
    </row>
    <row r="259" spans="1:1" s="110" customFormat="1">
      <c r="A259" s="129"/>
    </row>
    <row r="260" spans="1:1" s="110" customFormat="1">
      <c r="A260" s="129"/>
    </row>
    <row r="261" spans="1:1" s="110" customFormat="1">
      <c r="A261" s="129"/>
    </row>
    <row r="262" spans="1:1" s="110" customFormat="1">
      <c r="A262" s="129"/>
    </row>
    <row r="263" spans="1:1" s="110" customFormat="1">
      <c r="A263" s="129"/>
    </row>
    <row r="264" spans="1:1" s="110" customFormat="1">
      <c r="A264" s="129"/>
    </row>
    <row r="265" spans="1:1" s="110" customFormat="1">
      <c r="A265" s="129"/>
    </row>
    <row r="266" spans="1:1" s="110" customFormat="1">
      <c r="A266" s="129"/>
    </row>
    <row r="267" spans="1:1" s="110" customFormat="1">
      <c r="A267" s="129"/>
    </row>
    <row r="268" spans="1:1" s="110" customFormat="1">
      <c r="A268" s="129"/>
    </row>
    <row r="269" spans="1:1" s="110" customFormat="1">
      <c r="A269" s="129"/>
    </row>
    <row r="270" spans="1:1" s="110" customFormat="1">
      <c r="A270" s="129"/>
    </row>
    <row r="271" spans="1:1" s="110" customFormat="1">
      <c r="A271" s="129"/>
    </row>
    <row r="272" spans="1:1" s="110" customFormat="1">
      <c r="A272" s="129"/>
    </row>
    <row r="273" spans="1:1" s="110" customFormat="1">
      <c r="A273" s="129"/>
    </row>
    <row r="274" spans="1:1" s="110" customFormat="1">
      <c r="A274" s="129"/>
    </row>
    <row r="275" spans="1:1" s="110" customFormat="1">
      <c r="A275" s="129"/>
    </row>
    <row r="276" spans="1:1" s="110" customFormat="1">
      <c r="A276" s="129"/>
    </row>
    <row r="277" spans="1:1" s="110" customFormat="1">
      <c r="A277" s="129"/>
    </row>
    <row r="278" spans="1:1" s="110" customFormat="1">
      <c r="A278" s="129"/>
    </row>
    <row r="279" spans="1:1" s="110" customFormat="1">
      <c r="A279" s="129"/>
    </row>
    <row r="280" spans="1:1" s="110" customFormat="1">
      <c r="A280" s="129"/>
    </row>
    <row r="281" spans="1:1" s="110" customFormat="1">
      <c r="A281" s="129"/>
    </row>
    <row r="282" spans="1:1" s="110" customFormat="1">
      <c r="A282" s="129"/>
    </row>
    <row r="283" spans="1:1" s="110" customFormat="1">
      <c r="A283" s="129"/>
    </row>
    <row r="284" spans="1:1" s="110" customFormat="1">
      <c r="A284" s="129"/>
    </row>
    <row r="285" spans="1:1" s="110" customFormat="1">
      <c r="A285" s="129"/>
    </row>
    <row r="286" spans="1:1" s="110" customFormat="1">
      <c r="A286" s="129"/>
    </row>
    <row r="287" spans="1:1" s="110" customFormat="1">
      <c r="A287" s="129"/>
    </row>
    <row r="288" spans="1:1" s="110" customFormat="1">
      <c r="A288" s="129"/>
    </row>
    <row r="289" spans="1:1" s="110" customFormat="1">
      <c r="A289" s="129"/>
    </row>
    <row r="290" spans="1:1" s="110" customFormat="1">
      <c r="A290" s="129"/>
    </row>
    <row r="291" spans="1:1" s="110" customFormat="1">
      <c r="A291" s="129"/>
    </row>
    <row r="292" spans="1:1" s="110" customFormat="1">
      <c r="A292" s="129"/>
    </row>
    <row r="293" spans="1:1" s="110" customFormat="1">
      <c r="A293" s="129"/>
    </row>
    <row r="294" spans="1:1" s="110" customFormat="1">
      <c r="A294" s="129"/>
    </row>
    <row r="295" spans="1:1" s="110" customFormat="1">
      <c r="A295" s="129"/>
    </row>
    <row r="296" spans="1:1" s="110" customFormat="1">
      <c r="A296" s="129"/>
    </row>
    <row r="297" spans="1:1" s="110" customFormat="1">
      <c r="A297" s="129"/>
    </row>
    <row r="298" spans="1:1" s="110" customFormat="1">
      <c r="A298" s="129"/>
    </row>
    <row r="299" spans="1:1" s="110" customFormat="1">
      <c r="A299" s="129"/>
    </row>
    <row r="300" spans="1:1" s="110" customFormat="1">
      <c r="A300" s="129"/>
    </row>
    <row r="301" spans="1:1" s="110" customFormat="1">
      <c r="A301" s="129"/>
    </row>
    <row r="302" spans="1:1" s="110" customFormat="1">
      <c r="A302" s="129"/>
    </row>
    <row r="303" spans="1:1" s="110" customFormat="1">
      <c r="A303" s="129"/>
    </row>
    <row r="304" spans="1:1" s="110" customFormat="1">
      <c r="A304" s="129"/>
    </row>
    <row r="305" spans="1:1" s="110" customFormat="1">
      <c r="A305" s="129"/>
    </row>
    <row r="306" spans="1:1" s="110" customFormat="1">
      <c r="A306" s="129"/>
    </row>
    <row r="307" spans="1:1" s="110" customFormat="1">
      <c r="A307" s="129"/>
    </row>
    <row r="308" spans="1:1" s="110" customFormat="1">
      <c r="A308" s="129"/>
    </row>
    <row r="309" spans="1:1" s="110" customFormat="1">
      <c r="A309" s="129"/>
    </row>
    <row r="310" spans="1:1" s="110" customFormat="1">
      <c r="A310" s="129"/>
    </row>
    <row r="311" spans="1:1" s="110" customFormat="1">
      <c r="A311" s="129"/>
    </row>
    <row r="312" spans="1:1" s="110" customFormat="1">
      <c r="A312" s="129"/>
    </row>
    <row r="313" spans="1:1" s="110" customFormat="1">
      <c r="A313" s="129"/>
    </row>
    <row r="314" spans="1:1" s="110" customFormat="1">
      <c r="A314" s="129"/>
    </row>
    <row r="315" spans="1:1" s="110" customFormat="1">
      <c r="A315" s="129"/>
    </row>
    <row r="316" spans="1:1" s="110" customFormat="1">
      <c r="A316" s="129"/>
    </row>
    <row r="317" spans="1:1" s="110" customFormat="1">
      <c r="A317" s="129"/>
    </row>
    <row r="318" spans="1:1" s="110" customFormat="1">
      <c r="A318" s="129"/>
    </row>
    <row r="319" spans="1:1" s="110" customFormat="1">
      <c r="A319" s="129"/>
    </row>
    <row r="320" spans="1:1" s="110" customFormat="1">
      <c r="A320" s="129"/>
    </row>
    <row r="321" spans="1:1" s="110" customFormat="1">
      <c r="A321" s="129"/>
    </row>
    <row r="322" spans="1:1" s="110" customFormat="1">
      <c r="A322" s="129"/>
    </row>
    <row r="323" spans="1:1" s="110" customFormat="1">
      <c r="A323" s="129"/>
    </row>
    <row r="324" spans="1:1" s="110" customFormat="1">
      <c r="A324" s="129"/>
    </row>
    <row r="325" spans="1:1" s="110" customFormat="1">
      <c r="A325" s="129"/>
    </row>
    <row r="326" spans="1:1" s="110" customFormat="1">
      <c r="A326" s="129"/>
    </row>
    <row r="327" spans="1:1" s="110" customFormat="1">
      <c r="A327" s="129"/>
    </row>
    <row r="328" spans="1:1" s="110" customFormat="1">
      <c r="A328" s="129"/>
    </row>
    <row r="329" spans="1:1" s="110" customFormat="1">
      <c r="A329" s="129"/>
    </row>
    <row r="330" spans="1:1" s="110" customFormat="1">
      <c r="A330" s="129"/>
    </row>
    <row r="331" spans="1:1" s="110" customFormat="1">
      <c r="A331" s="129"/>
    </row>
    <row r="332" spans="1:1" s="110" customFormat="1">
      <c r="A332" s="129"/>
    </row>
    <row r="333" spans="1:1" s="110" customFormat="1">
      <c r="A333" s="129"/>
    </row>
    <row r="334" spans="1:1" s="110" customFormat="1">
      <c r="A334" s="129"/>
    </row>
    <row r="335" spans="1:1" s="110" customFormat="1">
      <c r="A335" s="129"/>
    </row>
    <row r="336" spans="1:1" s="110" customFormat="1">
      <c r="A336" s="129"/>
    </row>
    <row r="337" spans="1:1" s="110" customFormat="1">
      <c r="A337" s="129"/>
    </row>
    <row r="338" spans="1:1" s="110" customFormat="1">
      <c r="A338" s="129"/>
    </row>
    <row r="339" spans="1:1" s="110" customFormat="1">
      <c r="A339" s="129"/>
    </row>
    <row r="340" spans="1:1" s="110" customFormat="1">
      <c r="A340" s="129"/>
    </row>
    <row r="341" spans="1:1" s="110" customFormat="1">
      <c r="A341" s="129"/>
    </row>
    <row r="342" spans="1:1" s="110" customFormat="1">
      <c r="A342" s="129"/>
    </row>
    <row r="343" spans="1:1" s="110" customFormat="1">
      <c r="A343" s="129"/>
    </row>
    <row r="344" spans="1:1" s="110" customFormat="1">
      <c r="A344" s="129"/>
    </row>
    <row r="345" spans="1:1" s="110" customFormat="1">
      <c r="A345" s="129"/>
    </row>
    <row r="346" spans="1:1" s="110" customFormat="1">
      <c r="A346" s="129"/>
    </row>
    <row r="347" spans="1:1" s="110" customFormat="1">
      <c r="A347" s="129"/>
    </row>
    <row r="348" spans="1:1" s="110" customFormat="1">
      <c r="A348" s="129"/>
    </row>
    <row r="349" spans="1:1" s="110" customFormat="1">
      <c r="A349" s="129"/>
    </row>
    <row r="350" spans="1:1" s="110" customFormat="1">
      <c r="A350" s="129"/>
    </row>
    <row r="351" spans="1:1" s="110" customFormat="1">
      <c r="A351" s="129"/>
    </row>
    <row r="352" spans="1:1" s="110" customFormat="1">
      <c r="A352" s="129"/>
    </row>
    <row r="353" spans="1:1" s="110" customFormat="1">
      <c r="A353" s="129"/>
    </row>
    <row r="354" spans="1:1" s="110" customFormat="1">
      <c r="A354" s="129"/>
    </row>
    <row r="355" spans="1:1" s="110" customFormat="1">
      <c r="A355" s="129"/>
    </row>
    <row r="356" spans="1:1" s="110" customFormat="1">
      <c r="A356" s="129"/>
    </row>
    <row r="357" spans="1:1" s="110" customFormat="1">
      <c r="A357" s="129"/>
    </row>
    <row r="358" spans="1:1" s="110" customFormat="1">
      <c r="A358" s="129"/>
    </row>
    <row r="359" spans="1:1" s="110" customFormat="1">
      <c r="A359" s="129"/>
    </row>
    <row r="360" spans="1:1" s="110" customFormat="1">
      <c r="A360" s="129"/>
    </row>
    <row r="361" spans="1:1" s="110" customFormat="1">
      <c r="A361" s="129"/>
    </row>
    <row r="362" spans="1:1" s="110" customFormat="1">
      <c r="A362" s="129"/>
    </row>
    <row r="363" spans="1:1" s="110" customFormat="1">
      <c r="A363" s="129"/>
    </row>
    <row r="364" spans="1:1" s="110" customFormat="1">
      <c r="A364" s="129"/>
    </row>
    <row r="365" spans="1:1" s="110" customFormat="1">
      <c r="A365" s="129"/>
    </row>
    <row r="366" spans="1:1" s="110" customFormat="1">
      <c r="A366" s="129"/>
    </row>
    <row r="367" spans="1:1" s="110" customFormat="1">
      <c r="A367" s="129"/>
    </row>
    <row r="368" spans="1:1" s="110" customFormat="1">
      <c r="A368" s="129"/>
    </row>
    <row r="369" spans="1:1" s="110" customFormat="1">
      <c r="A369" s="129"/>
    </row>
    <row r="370" spans="1:1" s="110" customFormat="1">
      <c r="A370" s="129"/>
    </row>
    <row r="371" spans="1:1" s="110" customFormat="1">
      <c r="A371" s="129"/>
    </row>
    <row r="372" spans="1:1" s="110" customFormat="1">
      <c r="A372" s="129"/>
    </row>
    <row r="373" spans="1:1" s="110" customFormat="1">
      <c r="A373" s="129"/>
    </row>
    <row r="374" spans="1:1" s="110" customFormat="1">
      <c r="A374" s="129"/>
    </row>
    <row r="375" spans="1:1" s="110" customFormat="1">
      <c r="A375" s="129"/>
    </row>
    <row r="376" spans="1:1" s="110" customFormat="1">
      <c r="A376" s="129"/>
    </row>
    <row r="377" spans="1:1" s="110" customFormat="1">
      <c r="A377" s="129"/>
    </row>
    <row r="378" spans="1:1" s="110" customFormat="1">
      <c r="A378" s="129"/>
    </row>
    <row r="379" spans="1:1" s="110" customFormat="1">
      <c r="A379" s="129"/>
    </row>
    <row r="380" spans="1:1" s="110" customFormat="1">
      <c r="A380" s="129"/>
    </row>
    <row r="381" spans="1:1" s="110" customFormat="1">
      <c r="A381" s="129"/>
    </row>
    <row r="382" spans="1:1" s="110" customFormat="1">
      <c r="A382" s="129"/>
    </row>
    <row r="383" spans="1:1" s="110" customFormat="1">
      <c r="A383" s="129"/>
    </row>
    <row r="384" spans="1:1" s="110" customFormat="1">
      <c r="A384" s="129"/>
    </row>
    <row r="385" spans="1:1" s="110" customFormat="1">
      <c r="A385" s="129"/>
    </row>
    <row r="386" spans="1:1" s="110" customFormat="1">
      <c r="A386" s="129"/>
    </row>
    <row r="387" spans="1:1" s="110" customFormat="1">
      <c r="A387" s="129"/>
    </row>
    <row r="388" spans="1:1" s="110" customFormat="1">
      <c r="A388" s="129"/>
    </row>
    <row r="389" spans="1:1" s="110" customFormat="1">
      <c r="A389" s="129"/>
    </row>
    <row r="390" spans="1:1" s="110" customFormat="1">
      <c r="A390" s="129"/>
    </row>
    <row r="391" spans="1:1" s="110" customFormat="1">
      <c r="A391" s="129"/>
    </row>
    <row r="392" spans="1:1" s="110" customFormat="1">
      <c r="A392" s="129"/>
    </row>
    <row r="393" spans="1:1" s="110" customFormat="1">
      <c r="A393" s="129"/>
    </row>
    <row r="394" spans="1:1" s="110" customFormat="1">
      <c r="A394" s="129"/>
    </row>
    <row r="395" spans="1:1" s="110" customFormat="1">
      <c r="A395" s="129"/>
    </row>
    <row r="396" spans="1:1" s="110" customFormat="1">
      <c r="A396" s="129"/>
    </row>
    <row r="397" spans="1:1" s="110" customFormat="1">
      <c r="A397" s="129"/>
    </row>
    <row r="398" spans="1:1" s="110" customFormat="1">
      <c r="A398" s="129"/>
    </row>
    <row r="399" spans="1:1" s="110" customFormat="1">
      <c r="A399" s="129"/>
    </row>
    <row r="400" spans="1:1" s="110" customFormat="1">
      <c r="A400" s="129"/>
    </row>
    <row r="401" spans="1:1" s="110" customFormat="1">
      <c r="A401" s="129"/>
    </row>
    <row r="402" spans="1:1" s="110" customFormat="1">
      <c r="A402" s="129"/>
    </row>
    <row r="403" spans="1:1" s="110" customFormat="1">
      <c r="A403" s="129"/>
    </row>
    <row r="404" spans="1:1" s="110" customFormat="1">
      <c r="A404" s="129"/>
    </row>
    <row r="405" spans="1:1" s="110" customFormat="1">
      <c r="A405" s="129"/>
    </row>
    <row r="406" spans="1:1" s="110" customFormat="1">
      <c r="A406" s="129"/>
    </row>
    <row r="407" spans="1:1" s="110" customFormat="1">
      <c r="A407" s="129"/>
    </row>
    <row r="408" spans="1:1" s="110" customFormat="1">
      <c r="A408" s="129"/>
    </row>
    <row r="409" spans="1:1" s="110" customFormat="1">
      <c r="A409" s="129"/>
    </row>
    <row r="410" spans="1:1" s="110" customFormat="1">
      <c r="A410" s="129"/>
    </row>
    <row r="411" spans="1:1" s="110" customFormat="1">
      <c r="A411" s="129"/>
    </row>
    <row r="412" spans="1:1" s="110" customFormat="1">
      <c r="A412" s="129"/>
    </row>
    <row r="413" spans="1:1" s="110" customFormat="1">
      <c r="A413" s="129"/>
    </row>
    <row r="414" spans="1:1" s="110" customFormat="1">
      <c r="A414" s="129"/>
    </row>
    <row r="415" spans="1:1" s="110" customFormat="1">
      <c r="A415" s="129"/>
    </row>
    <row r="416" spans="1:1" s="110" customFormat="1">
      <c r="A416" s="129"/>
    </row>
    <row r="417" spans="1:1" s="110" customFormat="1">
      <c r="A417" s="129"/>
    </row>
    <row r="418" spans="1:1" s="110" customFormat="1">
      <c r="A418" s="129"/>
    </row>
    <row r="419" spans="1:1" s="110" customFormat="1">
      <c r="A419" s="129"/>
    </row>
    <row r="420" spans="1:1" s="110" customFormat="1">
      <c r="A420" s="129"/>
    </row>
    <row r="421" spans="1:1" s="110" customFormat="1">
      <c r="A421" s="129"/>
    </row>
    <row r="422" spans="1:1" s="110" customFormat="1">
      <c r="A422" s="129"/>
    </row>
    <row r="423" spans="1:1" s="110" customFormat="1">
      <c r="A423" s="129"/>
    </row>
    <row r="424" spans="1:1" s="110" customFormat="1">
      <c r="A424" s="129"/>
    </row>
    <row r="425" spans="1:1" s="110" customFormat="1">
      <c r="A425" s="129"/>
    </row>
    <row r="426" spans="1:1" s="110" customFormat="1">
      <c r="A426" s="129"/>
    </row>
    <row r="427" spans="1:1" s="110" customFormat="1">
      <c r="A427" s="129"/>
    </row>
    <row r="428" spans="1:1" s="110" customFormat="1">
      <c r="A428" s="129"/>
    </row>
    <row r="429" spans="1:1" s="110" customFormat="1">
      <c r="A429" s="129"/>
    </row>
    <row r="430" spans="1:1" s="110" customFormat="1">
      <c r="A430" s="129"/>
    </row>
    <row r="431" spans="1:1" s="110" customFormat="1">
      <c r="A431" s="129"/>
    </row>
    <row r="432" spans="1:1" s="110" customFormat="1">
      <c r="A432" s="129"/>
    </row>
  </sheetData>
  <mergeCells count="117">
    <mergeCell ref="A13:B13"/>
    <mergeCell ref="Z1:AH1"/>
    <mergeCell ref="A5:A8"/>
    <mergeCell ref="B5:B8"/>
    <mergeCell ref="C5:C8"/>
    <mergeCell ref="D5:D8"/>
    <mergeCell ref="E5:G6"/>
    <mergeCell ref="H5:K5"/>
    <mergeCell ref="L5:O5"/>
    <mergeCell ref="P5:S5"/>
    <mergeCell ref="T5:AJ5"/>
    <mergeCell ref="H6:H8"/>
    <mergeCell ref="I6:K6"/>
    <mergeCell ref="L6:L8"/>
    <mergeCell ref="M6:O6"/>
    <mergeCell ref="P6:P8"/>
    <mergeCell ref="Q6:S6"/>
    <mergeCell ref="T6:Y6"/>
    <mergeCell ref="Z6:AE6"/>
    <mergeCell ref="AF6:AJ6"/>
    <mergeCell ref="AI7:AJ7"/>
    <mergeCell ref="A3:AJ3"/>
    <mergeCell ref="A15:B15"/>
    <mergeCell ref="A17:B17"/>
    <mergeCell ref="A24:B24"/>
    <mergeCell ref="A26:C26"/>
    <mergeCell ref="AB7:AB8"/>
    <mergeCell ref="AC7:AE7"/>
    <mergeCell ref="AF7:AG7"/>
    <mergeCell ref="AH7:AH8"/>
    <mergeCell ref="A10:AH10"/>
    <mergeCell ref="Q7:Q8"/>
    <mergeCell ref="R7:S7"/>
    <mergeCell ref="T7:U7"/>
    <mergeCell ref="V7:V8"/>
    <mergeCell ref="W7:Y7"/>
    <mergeCell ref="Z7:AA7"/>
    <mergeCell ref="E7:F7"/>
    <mergeCell ref="G7:G8"/>
    <mergeCell ref="I7:I8"/>
    <mergeCell ref="J7:K7"/>
    <mergeCell ref="M7:M8"/>
    <mergeCell ref="N7:O7"/>
    <mergeCell ref="B12:C12"/>
    <mergeCell ref="B19:C19"/>
    <mergeCell ref="B11:AH11"/>
    <mergeCell ref="A47:B47"/>
    <mergeCell ref="C47:E47"/>
    <mergeCell ref="A54:C54"/>
    <mergeCell ref="A55:B55"/>
    <mergeCell ref="C55:E55"/>
    <mergeCell ref="A58:B58"/>
    <mergeCell ref="A27:B27"/>
    <mergeCell ref="C27:E27"/>
    <mergeCell ref="A39:B39"/>
    <mergeCell ref="A40:B40"/>
    <mergeCell ref="C40:E40"/>
    <mergeCell ref="A46:B46"/>
    <mergeCell ref="A73:B73"/>
    <mergeCell ref="C73:E73"/>
    <mergeCell ref="A77:B77"/>
    <mergeCell ref="A78:B78"/>
    <mergeCell ref="C78:E78"/>
    <mergeCell ref="A82:B82"/>
    <mergeCell ref="A59:B59"/>
    <mergeCell ref="C59:E59"/>
    <mergeCell ref="A68:B68"/>
    <mergeCell ref="A69:B69"/>
    <mergeCell ref="C69:E69"/>
    <mergeCell ref="A72:C72"/>
    <mergeCell ref="A96:B96"/>
    <mergeCell ref="C96:E96"/>
    <mergeCell ref="A99:B99"/>
    <mergeCell ref="A102:B102"/>
    <mergeCell ref="A103:B103"/>
    <mergeCell ref="A108:C108"/>
    <mergeCell ref="A83:B83"/>
    <mergeCell ref="C83:E83"/>
    <mergeCell ref="A89:B89"/>
    <mergeCell ref="A90:B90"/>
    <mergeCell ref="C90:E90"/>
    <mergeCell ref="A95:B95"/>
    <mergeCell ref="A123:B123"/>
    <mergeCell ref="A124:B124"/>
    <mergeCell ref="C124:E124"/>
    <mergeCell ref="A130:C130"/>
    <mergeCell ref="A131:B131"/>
    <mergeCell ref="A135:B135"/>
    <mergeCell ref="A109:B109"/>
    <mergeCell ref="A112:B112"/>
    <mergeCell ref="A113:B113"/>
    <mergeCell ref="C113:E113"/>
    <mergeCell ref="A117:B117"/>
    <mergeCell ref="A118:B118"/>
    <mergeCell ref="A148:C148"/>
    <mergeCell ref="B150:AH150"/>
    <mergeCell ref="A160:B160"/>
    <mergeCell ref="A163:B163"/>
    <mergeCell ref="A166:B166"/>
    <mergeCell ref="A169:B169"/>
    <mergeCell ref="A136:B136"/>
    <mergeCell ref="C136:E136"/>
    <mergeCell ref="A140:C140"/>
    <mergeCell ref="A141:B141"/>
    <mergeCell ref="C141:E141"/>
    <mergeCell ref="A145:C145"/>
    <mergeCell ref="A187:B187"/>
    <mergeCell ref="A189:B189"/>
    <mergeCell ref="A197:B197"/>
    <mergeCell ref="A199:B199"/>
    <mergeCell ref="A201:C201"/>
    <mergeCell ref="A173:B173"/>
    <mergeCell ref="A175:B175"/>
    <mergeCell ref="A178:B178"/>
    <mergeCell ref="A180:B180"/>
    <mergeCell ref="A182:B182"/>
    <mergeCell ref="A185:B185"/>
  </mergeCells>
  <printOptions horizontalCentered="1"/>
  <pageMargins left="0.39370078740157483" right="0.39370078740157483" top="0.39370078740157483" bottom="0.39370078740157483" header="0.19685039370078741" footer="0.51181102362204722"/>
  <pageSetup paperSize="9" scale="35" firstPageNumber="92" fitToHeight="8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поправки март 17.03.25</vt:lpstr>
      <vt:lpstr>'поправки март 17.03.25'!Z_D9A49370_59EF_4DF5_B20D_A46D1CBDF607_.wvu.PrintTitles</vt:lpstr>
      <vt:lpstr>'поправки март 17.03.25'!Заголовки_для_печати</vt:lpstr>
      <vt:lpstr>'поправки март 17.03.25'!Область_печати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29</cp:revision>
  <cp:lastPrinted>2025-03-17T07:37:03Z</cp:lastPrinted>
  <dcterms:created xsi:type="dcterms:W3CDTF">2023-06-29T08:05:20Z</dcterms:created>
  <dcterms:modified xsi:type="dcterms:W3CDTF">2025-03-17T07:38:11Z</dcterms:modified>
  <dc:language>ru-RU</dc:language>
</cp:coreProperties>
</file>